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vandalsuidaho-my.sharepoint.com/personal/bwilder_uidaho_edu1/Documents/Wilder_UI Extension/Extension Publications/"/>
    </mc:Choice>
  </mc:AlternateContent>
  <xr:revisionPtr revIDLastSave="13" documentId="8_{9F566FA9-B5C8-4A4B-9F72-5DF008424459}" xr6:coauthVersionLast="47" xr6:coauthVersionMax="47" xr10:uidLastSave="{7CF1D69E-B173-4A7F-AAFF-5C93DE8323D3}"/>
  <workbookProtection workbookAlgorithmName="SHA-512" workbookHashValue="ooV3zVRe3hcuCvk77lW4G6QWSCD9gLsGNBmomyBsun1kAkqlpnVORQOSf7tFaJd+R6q8LNnAao51h2kP1QBaRA==" workbookSaltValue="CJX5ucflkd6b8trDplVC5A==" workbookSpinCount="100000" lockStructure="1"/>
  <bookViews>
    <workbookView xWindow="-96" yWindow="0" windowWidth="11712" windowHeight="12336" tabRatio="708" activeTab="1" xr2:uid="{66BDB397-F6CC-4B97-908B-5B10C6802BC6}"/>
  </bookViews>
  <sheets>
    <sheet name="Title Page" sheetId="9" r:id="rId1"/>
    <sheet name="Calculator" sheetId="1" r:id="rId2"/>
    <sheet name="Estimating Salvage Value" sheetId="7" r:id="rId3"/>
    <sheet name="DataValidation" sheetId="2" state="hidden" r:id="rId4"/>
    <sheet name="UIMachCostsDataset" sheetId="4" state="hidden" r:id="rId5"/>
    <sheet name="CalcSheet" sheetId="3" state="hidden" r:id="rId6"/>
    <sheet name="CalcTables" sheetId="5" state="hidden" r:id="rId7"/>
  </sheets>
  <externalReferences>
    <externalReference r:id="rId8"/>
  </externalReferences>
  <definedNames>
    <definedName name="Achieve">'[1]Input Prices'!#REF!</definedName>
    <definedName name="AchieveSC">'[1]Input Prices'!#REF!</definedName>
    <definedName name="Aerial">'[1]Input Prices'!$D$41</definedName>
    <definedName name="AmmoniaS">'[1]Input Prices'!$D$34</definedName>
    <definedName name="AmmSulf">#REF!</definedName>
    <definedName name="AmmSulfLiq">'[1]Input Prices'!$D$35</definedName>
    <definedName name="AssureII">'[1]Input Prices'!$D$52</definedName>
    <definedName name="Axial">'[1]Input Prices'!$D$53</definedName>
    <definedName name="Barley">'[1]Input Prices'!$D$19</definedName>
    <definedName name="BarleySeed">#REF!</definedName>
    <definedName name="Basagran">'[1]Input Prices'!$D$54</definedName>
    <definedName name="Bronate">'[1]Input Prices'!#REF!</definedName>
    <definedName name="BroxM">'[1]Input Prices'!$D$55</definedName>
    <definedName name="camelina">'[1]Input Prices'!#REF!</definedName>
    <definedName name="Canola">'[1]Input Prices'!$D$23</definedName>
    <definedName name="Capture">'[1]Input Prices'!$D$56</definedName>
    <definedName name="cashrent">'[1]Input Prices'!$D$100</definedName>
    <definedName name="CBudget">#REF!</definedName>
    <definedName name="CICML">'[1]Input Prices'!#REF!</definedName>
    <definedName name="CIHRS">'[1]Input Prices'!$D$79</definedName>
    <definedName name="CISSW">'[1]Input Prices'!$D$78</definedName>
    <definedName name="CIWW">'[1]Input Prices'!$D$77</definedName>
    <definedName name="ClassAct">'[1]Input Prices'!#REF!</definedName>
    <definedName name="CMC">'[1]Machinery Costs'!#REF!</definedName>
    <definedName name="CMLSeed">'[1]Input Prices'!#REF!</definedName>
    <definedName name="CMMC">'[1]Machinery Costs'!#REF!</definedName>
    <definedName name="COC">'[1]Input Prices'!$D$36</definedName>
    <definedName name="customaerial">#REF!</definedName>
    <definedName name="Diesel">'[1]Input Prices'!$D$12</definedName>
    <definedName name="Dimethoate">'[1]Input Prices'!$D$57</definedName>
    <definedName name="DNSSd">'[1]Input Prices'!$D$18</definedName>
    <definedName name="DPesticide">#REF!</definedName>
    <definedName name="Excel">'[1]Input Prices'!#REF!</definedName>
    <definedName name="Fargo">'[1]Input Prices'!$D$59</definedName>
    <definedName name="FertilizerApplicator">#REF!</definedName>
    <definedName name="Finesse">'[1]Input Prices'!#REF!</definedName>
    <definedName name="Garbanzo">'[1]Input Prices'!$D$22</definedName>
    <definedName name="GBudget">[1]Chickpeas!#REF!</definedName>
    <definedName name="Glyphosphate">'[1]Input Prices'!$D$60</definedName>
    <definedName name="Gypsum">'[1]Input Prices'!#REF!</definedName>
    <definedName name="hardredspringwheat">#REF!</definedName>
    <definedName name="Headline">'[1]Input Prices'!$D$61</definedName>
    <definedName name="HourlyMachineLabor">#REF!</definedName>
    <definedName name="Imidan">'[1]Input Prices'!$D$62</definedName>
    <definedName name="Labor">'[1]Input Prices'!$D$90</definedName>
    <definedName name="Landtax">'[1]Input Prices'!#REF!</definedName>
    <definedName name="Lentil">'[1]Input Prices'!$D$21</definedName>
    <definedName name="liquidN">'[1]Input Prices'!$D$27</definedName>
    <definedName name="M">'[1]Input Prices'!#REF!</definedName>
    <definedName name="Maverick">'[1]Input Prices'!#REF!</definedName>
    <definedName name="MF">'[1]Input Prices'!$D$97</definedName>
    <definedName name="MT">'[1]Input Prices'!$D$64</definedName>
    <definedName name="MustSd">'[1]Input Prices'!#REF!</definedName>
    <definedName name="Nitrogen">'[1]Input Prices'!$D$26</definedName>
    <definedName name="NitrogenPriceAssumption">#REF!</definedName>
    <definedName name="oh">'[1]Input Prices'!$D$94</definedName>
    <definedName name="operloan">'[1]Input Prices'!$D$102</definedName>
    <definedName name="OperShare">[1]Summary!$L$13</definedName>
    <definedName name="Osprey">'[1]Input Prices'!$D$66</definedName>
    <definedName name="OwnerShare">[1]Summary!$L$14</definedName>
    <definedName name="pawp">[1]Summary!#REF!</definedName>
    <definedName name="pcml">[1]Summary!#REF!</definedName>
    <definedName name="Pea">'[1]Input Prices'!$D$20</definedName>
    <definedName name="pg">[1]Summary!$E$21</definedName>
    <definedName name="Phosphorous">'[1]Input Prices'!$D$29</definedName>
    <definedName name="phrsw">[1]Summary!$E$17</definedName>
    <definedName name="pl">[1]Summary!$E$20</definedName>
    <definedName name="po">[1]Summary!#REF!</definedName>
    <definedName name="Potassium">'[1]Input Prices'!$D$31</definedName>
    <definedName name="pp">[1]Summary!$E$19</definedName>
    <definedName name="_xlnm.Print_Area" localSheetId="0">'Title Page'!$A$1:$K$50</definedName>
    <definedName name="Prowl">'[1]Input Prices'!$D$68</definedName>
    <definedName name="psb">[1]Summary!#REF!</definedName>
    <definedName name="psc">[1]Summary!$E$22</definedName>
    <definedName name="Pursuit">'[1]Input Prices'!$D$69</definedName>
    <definedName name="pww">[1]Summary!$E$15</definedName>
    <definedName name="pym">[1]Summary!#REF!</definedName>
    <definedName name="Quadris">'[1]Input Prices'!$D$71</definedName>
    <definedName name="Quilt">'[1]Input Prices'!$D$72</definedName>
    <definedName name="RedWheat">'[1]Input Prices'!#REF!</definedName>
    <definedName name="RentalSprayer">#REF!</definedName>
    <definedName name="Rotation">'[1]Rotation data'!$A$6:$A$17</definedName>
    <definedName name="Roundup">#REF!</definedName>
    <definedName name="SBMC">'[1]Machinery Costs'!#REF!</definedName>
    <definedName name="SCMC">'[1]Machinery Costs'!#REF!</definedName>
    <definedName name="SF">'[1]Machinery Costs'!#REF!</definedName>
    <definedName name="Shooter">'[1]Input Prices'!$D$45</definedName>
    <definedName name="Sprayer">'[1]Input Prices'!$D$46</definedName>
    <definedName name="SpringPeaSeed">#REF!</definedName>
    <definedName name="Starane">'[1]Input Prices'!$D$73</definedName>
    <definedName name="StaraneSalvo">'[1]Input Prices'!#REF!</definedName>
    <definedName name="StaraneSword">'[1]Input Prices'!#REF!</definedName>
    <definedName name="Sulfur">'[1]Input Prices'!$D$30</definedName>
    <definedName name="surf">'[1]Input Prices'!$D$37</definedName>
    <definedName name="Surfactant">'[1]Input Prices'!#REF!</definedName>
    <definedName name="SWSWSd">'[1]Input Prices'!$D$17</definedName>
    <definedName name="SWWWSd">'[1]Input Prices'!$D$16</definedName>
    <definedName name="Syltac">'[1]Input Prices'!$D$38</definedName>
    <definedName name="SyltacS">#REF!</definedName>
    <definedName name="Targa">'[1]Input Prices'!#REF!</definedName>
    <definedName name="UltraPest">'[1]Input Prices'!#REF!</definedName>
    <definedName name="UltraProPesticide">#REF!</definedName>
    <definedName name="Wheat">'[1]Input Prices'!#REF!</definedName>
    <definedName name="WheatSeed">#REF!</definedName>
    <definedName name="WW">'[1]Soft White Winter Wheat'!#REF!</definedName>
    <definedName name="yawp">[1]Summary!#REF!</definedName>
    <definedName name="ycml">[1]Summary!#REF!</definedName>
    <definedName name="yhrsw">[1]Summary!$D$17</definedName>
    <definedName name="yhrww">[1]Summary!#REF!</definedName>
    <definedName name="yp">[1]Summary!$D$19</definedName>
    <definedName name="ysb">[1]Summary!#REF!</definedName>
    <definedName name="yw">[1]Summary!#REF!</definedName>
    <definedName name="yww">[1]Summary!$D$15</definedName>
    <definedName name="yym">[1]Summary!#REF!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4" l="1"/>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8" i="4"/>
  <c r="I26" i="4"/>
  <c r="I27" i="4"/>
  <c r="I11" i="4"/>
  <c r="G27" i="4"/>
  <c r="G9" i="4" l="1"/>
  <c r="G10" i="4"/>
  <c r="G11" i="4"/>
  <c r="G12" i="4"/>
  <c r="G13" i="4"/>
  <c r="G14" i="4"/>
  <c r="G15" i="4"/>
  <c r="G16" i="4"/>
  <c r="G17" i="4"/>
  <c r="G18" i="4"/>
  <c r="G19" i="4"/>
  <c r="G20" i="4"/>
  <c r="G21" i="4"/>
  <c r="G22" i="4"/>
  <c r="G23" i="4"/>
  <c r="G24" i="4"/>
  <c r="G25" i="4"/>
  <c r="G26" i="4"/>
  <c r="G28" i="4"/>
  <c r="G29" i="4"/>
  <c r="G30" i="4"/>
  <c r="G31" i="4"/>
  <c r="G32" i="4"/>
  <c r="G33" i="4"/>
  <c r="G34" i="4"/>
  <c r="G35" i="4"/>
  <c r="G36" i="4"/>
  <c r="G37" i="4"/>
  <c r="G38" i="4"/>
  <c r="G39" i="4"/>
  <c r="G40" i="4"/>
  <c r="G41" i="4"/>
  <c r="G42" i="4"/>
  <c r="G43" i="4"/>
  <c r="G44" i="4"/>
  <c r="G45" i="4"/>
  <c r="G46" i="4"/>
  <c r="G47" i="4"/>
  <c r="G48" i="4"/>
  <c r="G49" i="4"/>
  <c r="G50" i="4"/>
  <c r="G51" i="4"/>
  <c r="G52" i="4"/>
  <c r="G53" i="4"/>
  <c r="G54" i="4"/>
  <c r="G8" i="4"/>
  <c r="L19" i="3"/>
  <c r="J25" i="1" l="1"/>
  <c r="G37" i="1"/>
  <c r="F58" i="1" s="1"/>
  <c r="I9" i="4"/>
  <c r="I10" i="4"/>
  <c r="I58" i="4"/>
  <c r="I59" i="4"/>
  <c r="I60" i="4"/>
  <c r="I61" i="4"/>
  <c r="I62" i="4"/>
  <c r="I63" i="4"/>
  <c r="I64" i="4"/>
  <c r="I65" i="4"/>
  <c r="I12" i="4"/>
  <c r="I66" i="4"/>
  <c r="I67" i="4"/>
  <c r="I68" i="4"/>
  <c r="I69" i="4"/>
  <c r="I70" i="4"/>
  <c r="I71" i="4"/>
  <c r="I72" i="4"/>
  <c r="I13" i="4"/>
  <c r="I73" i="4"/>
  <c r="I14" i="4"/>
  <c r="I15" i="4"/>
  <c r="I74" i="4"/>
  <c r="I75" i="4"/>
  <c r="I76" i="4"/>
  <c r="I16" i="4"/>
  <c r="I77" i="4"/>
  <c r="I78" i="4"/>
  <c r="I17" i="4"/>
  <c r="I79" i="4"/>
  <c r="I80" i="4"/>
  <c r="I18" i="4"/>
  <c r="I81" i="4"/>
  <c r="I82" i="4"/>
  <c r="I83" i="4"/>
  <c r="I19" i="4"/>
  <c r="I84" i="4"/>
  <c r="I20" i="4"/>
  <c r="I85" i="4"/>
  <c r="I86" i="4"/>
  <c r="I87" i="4"/>
  <c r="I21" i="4"/>
  <c r="I22" i="4"/>
  <c r="I88" i="4"/>
  <c r="I89" i="4"/>
  <c r="I23" i="4"/>
  <c r="I90" i="4"/>
  <c r="I91" i="4"/>
  <c r="I92" i="4"/>
  <c r="I93" i="4"/>
  <c r="I24" i="4"/>
  <c r="I94" i="4"/>
  <c r="I95" i="4"/>
  <c r="I96" i="4"/>
  <c r="I25" i="4"/>
  <c r="I28" i="4"/>
  <c r="I29" i="4"/>
  <c r="I30" i="4"/>
  <c r="I97" i="4"/>
  <c r="I98" i="4"/>
  <c r="I99" i="4"/>
  <c r="I31" i="4"/>
  <c r="I32" i="4"/>
  <c r="I33" i="4"/>
  <c r="I34" i="4"/>
  <c r="I35" i="4"/>
  <c r="I36" i="4"/>
  <c r="I37" i="4"/>
  <c r="I38" i="4"/>
  <c r="I39" i="4"/>
  <c r="I100" i="4"/>
  <c r="I101" i="4"/>
  <c r="I102" i="4"/>
  <c r="I40" i="4"/>
  <c r="I103" i="4"/>
  <c r="I104" i="4"/>
  <c r="I105" i="4"/>
  <c r="I106" i="4"/>
  <c r="I107" i="4"/>
  <c r="I108" i="4"/>
  <c r="I109" i="4"/>
  <c r="I110" i="4"/>
  <c r="I41" i="4"/>
  <c r="I42" i="4"/>
  <c r="I111" i="4"/>
  <c r="I112" i="4"/>
  <c r="I113" i="4"/>
  <c r="I114" i="4"/>
  <c r="I115" i="4"/>
  <c r="I116" i="4"/>
  <c r="I117" i="4"/>
  <c r="I43" i="4"/>
  <c r="I44" i="4"/>
  <c r="I118" i="4"/>
  <c r="I119" i="4"/>
  <c r="I120" i="4"/>
  <c r="I121" i="4"/>
  <c r="I122" i="4"/>
  <c r="I123" i="4"/>
  <c r="I45" i="4"/>
  <c r="I124" i="4"/>
  <c r="I125" i="4"/>
  <c r="I126" i="4"/>
  <c r="I127" i="4"/>
  <c r="I128" i="4"/>
  <c r="I129" i="4"/>
  <c r="I130" i="4"/>
  <c r="I131" i="4"/>
  <c r="I46" i="4"/>
  <c r="I47" i="4"/>
  <c r="I48" i="4"/>
  <c r="I49" i="4"/>
  <c r="I50" i="4"/>
  <c r="I51" i="4"/>
  <c r="I52" i="4"/>
  <c r="I132" i="4"/>
  <c r="I53" i="4"/>
  <c r="I133" i="4"/>
  <c r="I54" i="4"/>
  <c r="H9" i="4"/>
  <c r="H10" i="4"/>
  <c r="H58" i="4"/>
  <c r="H59" i="4"/>
  <c r="H60" i="4"/>
  <c r="H61" i="4"/>
  <c r="H11" i="4"/>
  <c r="H62" i="4"/>
  <c r="H63" i="4"/>
  <c r="H64" i="4"/>
  <c r="H65" i="4"/>
  <c r="H12" i="4"/>
  <c r="H66" i="4"/>
  <c r="H67" i="4"/>
  <c r="H68" i="4"/>
  <c r="H69" i="4"/>
  <c r="H70" i="4"/>
  <c r="H71" i="4"/>
  <c r="H72" i="4"/>
  <c r="H13" i="4"/>
  <c r="H73" i="4"/>
  <c r="H14" i="4"/>
  <c r="H15" i="4"/>
  <c r="H74" i="4"/>
  <c r="H75" i="4"/>
  <c r="H76" i="4"/>
  <c r="H16" i="4"/>
  <c r="H77" i="4"/>
  <c r="H78" i="4"/>
  <c r="H17" i="4"/>
  <c r="H79" i="4"/>
  <c r="H80" i="4"/>
  <c r="H18" i="4"/>
  <c r="H81" i="4"/>
  <c r="H82" i="4"/>
  <c r="H83" i="4"/>
  <c r="H19" i="4"/>
  <c r="H84" i="4"/>
  <c r="H20" i="4"/>
  <c r="H85" i="4"/>
  <c r="H86" i="4"/>
  <c r="H87" i="4"/>
  <c r="H21" i="4"/>
  <c r="H22" i="4"/>
  <c r="H88" i="4"/>
  <c r="H89" i="4"/>
  <c r="H23" i="4"/>
  <c r="H90" i="4"/>
  <c r="H91" i="4"/>
  <c r="H92" i="4"/>
  <c r="H93" i="4"/>
  <c r="H24" i="4"/>
  <c r="H94" i="4"/>
  <c r="H95" i="4"/>
  <c r="H96" i="4"/>
  <c r="H25" i="4"/>
  <c r="H26" i="4"/>
  <c r="H27" i="4"/>
  <c r="H28" i="4"/>
  <c r="H29" i="4"/>
  <c r="H30" i="4"/>
  <c r="H97" i="4"/>
  <c r="H98" i="4"/>
  <c r="H99" i="4"/>
  <c r="H31" i="4"/>
  <c r="H32" i="4"/>
  <c r="H33" i="4"/>
  <c r="H34" i="4"/>
  <c r="H35" i="4"/>
  <c r="H36" i="4"/>
  <c r="H37" i="4"/>
  <c r="H38" i="4"/>
  <c r="H39" i="4"/>
  <c r="H100" i="4"/>
  <c r="H101" i="4"/>
  <c r="H102" i="4"/>
  <c r="H40" i="4"/>
  <c r="H103" i="4"/>
  <c r="H104" i="4"/>
  <c r="H105" i="4"/>
  <c r="H106" i="4"/>
  <c r="H107" i="4"/>
  <c r="H108" i="4"/>
  <c r="H109" i="4"/>
  <c r="H110" i="4"/>
  <c r="H41" i="4"/>
  <c r="H42" i="4"/>
  <c r="H111" i="4"/>
  <c r="H112" i="4"/>
  <c r="H113" i="4"/>
  <c r="H114" i="4"/>
  <c r="H115" i="4"/>
  <c r="H116" i="4"/>
  <c r="H117" i="4"/>
  <c r="H43" i="4"/>
  <c r="H44" i="4"/>
  <c r="H118" i="4"/>
  <c r="H119" i="4"/>
  <c r="H120" i="4"/>
  <c r="H121" i="4"/>
  <c r="H122" i="4"/>
  <c r="H123" i="4"/>
  <c r="H45" i="4"/>
  <c r="H124" i="4"/>
  <c r="H125" i="4"/>
  <c r="H126" i="4"/>
  <c r="H127" i="4"/>
  <c r="H128" i="4"/>
  <c r="H129" i="4"/>
  <c r="H130" i="4"/>
  <c r="H131" i="4"/>
  <c r="H46" i="4"/>
  <c r="H47" i="4"/>
  <c r="H48" i="4"/>
  <c r="H49" i="4"/>
  <c r="H50" i="4"/>
  <c r="H51" i="4"/>
  <c r="H52" i="4"/>
  <c r="H132" i="4"/>
  <c r="H53" i="4"/>
  <c r="H133" i="4"/>
  <c r="H54" i="4"/>
  <c r="H8"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C4" i="4"/>
  <c r="C28" i="3"/>
  <c r="C29" i="3"/>
  <c r="C27" i="3"/>
  <c r="M12" i="1" l="1"/>
  <c r="C4" i="3"/>
  <c r="C5" i="3"/>
  <c r="C22" i="1"/>
  <c r="F29" i="1" s="1"/>
  <c r="E60" i="1" s="1"/>
  <c r="C58" i="4"/>
  <c r="C59" i="4"/>
  <c r="C60" i="4"/>
  <c r="C61" i="4"/>
  <c r="E22" i="1" s="1"/>
  <c r="H29" i="1" s="1"/>
  <c r="F60" i="1" s="1"/>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F31" i="1" l="1"/>
  <c r="F38" i="1"/>
  <c r="E59" i="1" s="1"/>
  <c r="J23" i="1" s="1"/>
  <c r="F37" i="1"/>
  <c r="E58" i="1" s="1"/>
  <c r="J22" i="1" s="1"/>
  <c r="F35" i="1"/>
  <c r="E56" i="1" s="1"/>
  <c r="F34" i="1"/>
  <c r="E55" i="1" s="1"/>
  <c r="C11" i="3" s="1"/>
  <c r="C13" i="3" s="1"/>
  <c r="F33" i="1"/>
  <c r="E54" i="1" s="1"/>
  <c r="F32" i="1"/>
  <c r="E53" i="1" s="1"/>
  <c r="C9" i="3" s="1"/>
  <c r="H32" i="1"/>
  <c r="F53" i="1" s="1"/>
  <c r="D9" i="3" s="1"/>
  <c r="H31" i="1"/>
  <c r="F52" i="1" s="1"/>
  <c r="L13" i="1" s="1"/>
  <c r="H38" i="1"/>
  <c r="H35" i="1"/>
  <c r="F56" i="1" s="1"/>
  <c r="D12" i="3" s="1"/>
  <c r="H34" i="1"/>
  <c r="F55" i="1" s="1"/>
  <c r="D11" i="3" s="1"/>
  <c r="D13" i="3" s="1"/>
  <c r="H33" i="1"/>
  <c r="F54" i="1" s="1"/>
  <c r="C33" i="3" l="1"/>
  <c r="D33" i="3" s="1"/>
  <c r="L17" i="1"/>
  <c r="E52" i="1"/>
  <c r="K13" i="1" s="1"/>
  <c r="C12" i="3"/>
  <c r="J24" i="1"/>
  <c r="N8" i="3"/>
  <c r="K15" i="1"/>
  <c r="M15" i="1" s="1"/>
  <c r="D10" i="3"/>
  <c r="D18" i="3" s="1"/>
  <c r="K14" i="1"/>
  <c r="C10" i="3"/>
  <c r="K11" i="3" s="1"/>
  <c r="E33" i="3" l="1"/>
  <c r="F33" i="3"/>
  <c r="L8" i="1" s="1"/>
  <c r="C32" i="3"/>
  <c r="M13" i="1"/>
  <c r="K8" i="3"/>
  <c r="K9" i="3"/>
  <c r="K14" i="3"/>
  <c r="K10" i="3"/>
  <c r="K13" i="3"/>
  <c r="C18" i="3"/>
  <c r="K15" i="3"/>
  <c r="K12" i="3"/>
  <c r="C22" i="3"/>
  <c r="L7" i="1" s="1"/>
  <c r="D17" i="3"/>
  <c r="L6" i="1" s="1"/>
  <c r="B22" i="3"/>
  <c r="K7" i="1" s="1"/>
  <c r="C17" i="3"/>
  <c r="K6" i="1" s="1"/>
  <c r="K17" i="1"/>
  <c r="M17" i="1" s="1"/>
  <c r="M14" i="1"/>
  <c r="G33" i="3" l="1"/>
  <c r="F32" i="3"/>
  <c r="D32" i="3"/>
  <c r="E32" i="3"/>
  <c r="K19" i="3"/>
  <c r="M6" i="1"/>
  <c r="M7" i="1"/>
  <c r="L10" i="1"/>
  <c r="L19" i="1" s="1"/>
  <c r="G32" i="3" l="1"/>
  <c r="K8" i="1" s="1"/>
  <c r="M8" i="1" l="1"/>
  <c r="K10" i="1"/>
  <c r="K19" i="1" l="1"/>
  <c r="M19" i="1" s="1"/>
  <c r="M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Tyler Hand</author>
  </authors>
  <commentList>
    <comment ref="H7" authorId="0" shapeId="0" xr:uid="{5DD665D2-F1B1-445C-B73C-93249B0806AD}">
      <text>
        <r>
          <rPr>
            <b/>
            <sz val="9"/>
            <color indexed="81"/>
            <rFont val="Tahoma"/>
            <family val="2"/>
          </rPr>
          <t>This should reflect the acreage that you are actually running the equipment on, not your operation size (unless you are planting all the same crop).
Example: You have 1,000 acres of irrigated land and want to calculate the cost of operating a harvester for potatoes that will be planted on 500 of those acres. You should enter 500 here.</t>
        </r>
      </text>
    </comment>
    <comment ref="H8" authorId="0" shapeId="0" xr:uid="{6DA99CB2-17CE-4CC0-8E96-146C57C39367}">
      <text>
        <r>
          <rPr>
            <b/>
            <sz val="9"/>
            <color indexed="81"/>
            <rFont val="Tahoma"/>
            <family val="2"/>
          </rPr>
          <t>If in doubt, either will work.</t>
        </r>
      </text>
    </comment>
    <comment ref="H9" authorId="0" shapeId="0" xr:uid="{A52D68F1-B179-403D-9F4A-4F0F376CF282}">
      <text>
        <r>
          <rPr>
            <b/>
            <sz val="9"/>
            <color indexed="81"/>
            <rFont val="Tahoma"/>
            <family val="2"/>
          </rPr>
          <t>Note: You do not need to change the interest rate if you select "no"</t>
        </r>
      </text>
    </comment>
    <comment ref="H13" authorId="0" shapeId="0" xr:uid="{5DDD5BA2-0CF6-45D6-9221-84437B6008E5}">
      <text>
        <r>
          <rPr>
            <b/>
            <sz val="9"/>
            <color indexed="81"/>
            <rFont val="Tahoma"/>
            <family val="2"/>
          </rPr>
          <t>The cost of insurance can vary widely among providers, equipment, region and among individual operators. For simplicity, we assume the cost of insurance to be a percentage of the asset value. 
If you have a policy specifically for the price of equipment, there is a spot below for you to enter the annual premium paid that will override this estimated value.
If you have an umbrella policy that includes this equipment, this percentage helps estimate the share of that policy. Again, if you know exactly what this is, you are encouraged to enter that annual amount (which will override this estimated number).</t>
        </r>
      </text>
    </comment>
    <comment ref="H14" authorId="0" shapeId="0" xr:uid="{695EEFCC-71A9-451F-A8E5-071D5C2F7DD5}">
      <text>
        <r>
          <rPr>
            <b/>
            <sz val="9"/>
            <color indexed="81"/>
            <rFont val="Tahoma"/>
            <family val="2"/>
          </rPr>
          <t>Some counties may impose a property tax on farm equipment. Set this to 0% if this does not apply to you.</t>
        </r>
      </text>
    </comment>
    <comment ref="H15" authorId="0" shapeId="0" xr:uid="{AAAE0937-4B29-4632-ADAF-8E00D9CEF590}">
      <text>
        <r>
          <rPr>
            <b/>
            <sz val="9"/>
            <color indexed="81"/>
            <rFont val="Tahoma"/>
            <family val="2"/>
          </rPr>
          <t>This is a general estimate of the costs associated with housing this equipment as a percentage of the equipment value. 
Costs included here would be, for example, a share of the costs associated with regular maintainence, utilities and property taxes for the shop it is stored in.
If the equipment is stored outside, feel free to enter a 0% here.</t>
        </r>
      </text>
    </comment>
    <comment ref="C20" authorId="0" shapeId="0" xr:uid="{7F13C6C4-A9F4-4336-A3F0-8E64FF514C67}">
      <text>
        <r>
          <rPr>
            <b/>
            <sz val="9"/>
            <color indexed="81"/>
            <rFont val="Tahoma"/>
            <family val="2"/>
          </rPr>
          <t>This will populate the table below with template values (GREY). Bascially, unless you specify otherwise in the TAN cell to the left, these are the values that will be used in calculating machinery costs.</t>
        </r>
      </text>
    </comment>
    <comment ref="C28" authorId="0" shapeId="0" xr:uid="{9FB39714-CD82-487D-AA08-D1C9431E949E}">
      <text>
        <r>
          <rPr>
            <b/>
            <sz val="9"/>
            <color indexed="81"/>
            <rFont val="Tahoma"/>
            <family val="2"/>
          </rPr>
          <t>Hello, I'm a note!</t>
        </r>
      </text>
    </comment>
    <comment ref="C29" authorId="0" shapeId="0" xr:uid="{325DC815-EC7F-4DC0-8392-D0B916537FA2}">
      <text>
        <r>
          <rPr>
            <b/>
            <sz val="9"/>
            <color indexed="81"/>
            <rFont val="Tahoma"/>
            <family val="2"/>
          </rPr>
          <t>This is used to estimate the annual repairs. If you have an actual annual number, put that in the next section and it will be used instead of the estimate and be put in per-acre terms.</t>
        </r>
        <r>
          <rPr>
            <sz val="9"/>
            <color indexed="81"/>
            <rFont val="Tahoma"/>
            <family val="2"/>
          </rPr>
          <t xml:space="preserve">
</t>
        </r>
      </text>
    </comment>
    <comment ref="C31" authorId="0" shapeId="0" xr:uid="{DFF90A86-DC8F-4C93-B6F9-7E70BB2CF47A}">
      <text>
        <r>
          <rPr>
            <b/>
            <sz val="9"/>
            <color indexed="81"/>
            <rFont val="Tahoma"/>
            <family val="2"/>
          </rPr>
          <t xml:space="preserve">Equipment value and book value are separated here so that costs are calculated correctly for any equipment acquired for well below market value (ex. part of a trade for other services). The "Book Value" is only used to calculate depreciation. The "Equipment Value" is used to estimate all other costs. If your equipment was acquired at a fair price, make these the same. </t>
        </r>
      </text>
    </comment>
    <comment ref="C32" authorId="0" shapeId="0" xr:uid="{2181095D-653F-4576-BD09-E79E9118ABBB}">
      <text>
        <r>
          <rPr>
            <b/>
            <sz val="9"/>
            <color indexed="81"/>
            <rFont val="Tahoma"/>
            <family val="2"/>
          </rPr>
          <t xml:space="preserve">Equipment value and book value are separated here so that costs are calculated correctly for any equipment acquired for well below market value (ex. part of a trade for other services). The "Book Value" is only used to calculate depreciation. The "Equipment Value" is used to estimate all other costs. If your equipment was acquired at a fair price, make these the same. </t>
        </r>
        <r>
          <rPr>
            <sz val="9"/>
            <color indexed="81"/>
            <rFont val="Tahoma"/>
            <family val="2"/>
          </rPr>
          <t xml:space="preserve">
</t>
        </r>
      </text>
    </comment>
    <comment ref="C33" authorId="0" shapeId="0" xr:uid="{BE7F9E66-2B8C-488B-AC38-79B8EF0D4383}">
      <text>
        <r>
          <rPr>
            <sz val="9"/>
            <color indexed="81"/>
            <rFont val="Tahoma"/>
            <family val="2"/>
          </rPr>
          <t xml:space="preserve">You can find this in your tax documents. If you need to estimate this, see the tab "Estimating Salvage Value"
</t>
        </r>
      </text>
    </comment>
  </commentList>
</comments>
</file>

<file path=xl/sharedStrings.xml><?xml version="1.0" encoding="utf-8"?>
<sst xmlns="http://schemas.openxmlformats.org/spreadsheetml/2006/main" count="617" uniqueCount="307">
  <si>
    <t>University of Idaho Extension</t>
  </si>
  <si>
    <t>Machinery Costs Calculator</t>
  </si>
  <si>
    <t>Important: Only edit the TAN colored cells. Some contain dropdowns.</t>
  </si>
  <si>
    <t>Equipment Costs ($/acre)</t>
  </si>
  <si>
    <t>Power Unit</t>
  </si>
  <si>
    <t>Implement</t>
  </si>
  <si>
    <t>Total</t>
  </si>
  <si>
    <t>Ownership Costs</t>
  </si>
  <si>
    <t>Settings</t>
  </si>
  <si>
    <t>Capital recovery (depreciation)</t>
  </si>
  <si>
    <t>Operating Acreage</t>
  </si>
  <si>
    <t>(note)</t>
  </si>
  <si>
    <t>Interest Expense</t>
  </si>
  <si>
    <t>Depreciation Calculation Method:</t>
  </si>
  <si>
    <t>Straight-Line</t>
  </si>
  <si>
    <t>Insurance, taxes and housing</t>
  </si>
  <si>
    <t>Include Interest Expense?</t>
  </si>
  <si>
    <t>No</t>
  </si>
  <si>
    <t>Interest Rate (%)</t>
  </si>
  <si>
    <t>Total ownership cost</t>
  </si>
  <si>
    <t>Operator Labor Wage Rate ($/hour)</t>
  </si>
  <si>
    <t>Fuel Cost ($/gal)</t>
  </si>
  <si>
    <t>Operating Costs</t>
  </si>
  <si>
    <t>Insurance Assumption (%)</t>
  </si>
  <si>
    <t xml:space="preserve">Repair, lubrication and general maintenance cost </t>
  </si>
  <si>
    <t>Taxes Assumption (%)</t>
  </si>
  <si>
    <t>Fuel cost</t>
  </si>
  <si>
    <t>---</t>
  </si>
  <si>
    <t>Housing Assumption (%)</t>
  </si>
  <si>
    <t xml:space="preserve">Operator labor cost </t>
  </si>
  <si>
    <t xml:space="preserve">Total operating cost </t>
  </si>
  <si>
    <t>Select Template</t>
  </si>
  <si>
    <t>Total Ownership plus Operating Costs</t>
  </si>
  <si>
    <t>(What is this? Hover to view Excel notes)</t>
  </si>
  <si>
    <t>Error Messages (if any):</t>
  </si>
  <si>
    <t>John Deere 8320R Tractor</t>
  </si>
  <si>
    <t>2020 Dagelman Pro-Till 40</t>
  </si>
  <si>
    <t>NOTE: If you do not enter a value, estimated template values (GREY) will be used. Only edit the TAN cells in the section below.</t>
  </si>
  <si>
    <t>(from template)</t>
  </si>
  <si>
    <t>(hover for notes where a red carrot is present)</t>
  </si>
  <si>
    <t>Equipment Category</t>
  </si>
  <si>
    <t>&lt;---To go back to using the default (from the template), just delete the selection in the tan cell</t>
  </si>
  <si>
    <t>Equipment Value</t>
  </si>
  <si>
    <t>Book Value</t>
  </si>
  <si>
    <t>Salvage Value</t>
  </si>
  <si>
    <t>Useful Life</t>
  </si>
  <si>
    <t>Years of Ownership</t>
  </si>
  <si>
    <t>Season Operating Hours</t>
  </si>
  <si>
    <t>Engine horsepower</t>
  </si>
  <si>
    <t>Overrides - If you know the actual numbers for the below, enter it to override estimated values (otherwise, leave this blank).</t>
  </si>
  <si>
    <t>Actual Costs (only if known, annual)</t>
  </si>
  <si>
    <t>Insurance</t>
  </si>
  <si>
    <t>Taxes</t>
  </si>
  <si>
    <t>Housing</t>
  </si>
  <si>
    <t>Fuel</t>
  </si>
  <si>
    <t>Repair, lubrication and general maintenance</t>
  </si>
  <si>
    <t>DO NOT EDIT BELOW THIS ROW</t>
  </si>
  <si>
    <t>Repair Category - choose closest</t>
  </si>
  <si>
    <t xml:space="preserve"> </t>
  </si>
  <si>
    <t>Use this to estimate salvage value, if unavailable</t>
  </si>
  <si>
    <t>Age of Machine (years)</t>
  </si>
  <si>
    <t>Tractor (80-149 HP)</t>
  </si>
  <si>
    <t>Tractor (150+ HP)</t>
  </si>
  <si>
    <t>Combine</t>
  </si>
  <si>
    <t>Baler</t>
  </si>
  <si>
    <t>Tillage</t>
  </si>
  <si>
    <t>Planter</t>
  </si>
  <si>
    <t>*As a percentage of list price of a similar machine. Percentages are sources from ASABE 2013 Standards via Farm Management, 10th edition by Ronald Kay, William Edwards and Patricia Duffy</t>
  </si>
  <si>
    <t>Depreciation Settings:</t>
  </si>
  <si>
    <t>Interest Settings:</t>
  </si>
  <si>
    <t>Yes</t>
  </si>
  <si>
    <t>Double Declining</t>
  </si>
  <si>
    <t>Yes, power unit only</t>
  </si>
  <si>
    <t>Yes, implement only</t>
  </si>
  <si>
    <t>mID</t>
  </si>
  <si>
    <t>Equipment</t>
  </si>
  <si>
    <t>Year Purchased</t>
  </si>
  <si>
    <t>Equipment Type</t>
  </si>
  <si>
    <t>List Price</t>
  </si>
  <si>
    <t>Engine Horsepower</t>
  </si>
  <si>
    <t>Repair Category</t>
  </si>
  <si>
    <t>Engine Hp</t>
  </si>
  <si>
    <t>SELECT THIS OPTION FOR "NONE"</t>
  </si>
  <si>
    <t>None - No Repair Cost</t>
  </si>
  <si>
    <t>----------POWER UNITS----------</t>
  </si>
  <si>
    <t>Case 1680 Combine</t>
  </si>
  <si>
    <t>Combine, self-propelled</t>
  </si>
  <si>
    <t>8.3L Cummins - 235 hp</t>
  </si>
  <si>
    <t>Case 2588 Combine</t>
  </si>
  <si>
    <t>8.3L Cummins - 330 hp</t>
  </si>
  <si>
    <t>920 Cat Front-loader</t>
  </si>
  <si>
    <t>Loader</t>
  </si>
  <si>
    <t xml:space="preserve"> Cat - 121 hp</t>
  </si>
  <si>
    <t>744 E John Deere Loader</t>
  </si>
  <si>
    <t>John Deere - 250 hp</t>
  </si>
  <si>
    <t>Artic Cat 4-wheeler</t>
  </si>
  <si>
    <t>ATV, motorbike, moped</t>
  </si>
  <si>
    <t>Mac Don Swather 9250i</t>
  </si>
  <si>
    <t>Windrower, self-propelled</t>
  </si>
  <si>
    <t>4bt Cummins - 80 hp</t>
  </si>
  <si>
    <t>7140 Tractor</t>
  </si>
  <si>
    <t>4WD tractor</t>
  </si>
  <si>
    <t>8.3 Cummins - 195 hp</t>
  </si>
  <si>
    <t>John Deere 4430 Tractor</t>
  </si>
  <si>
    <t>2WD tractor (up to 150HP)</t>
  </si>
  <si>
    <t>6.6 John Deere - 125 hp</t>
  </si>
  <si>
    <t>John Deere 9L - 320 hp</t>
  </si>
  <si>
    <t>John Deere 8245R Tractor (Defoliator)</t>
  </si>
  <si>
    <t>John Deere 9L - 245 hp</t>
  </si>
  <si>
    <t>8330 John Deere Tractor</t>
  </si>
  <si>
    <t>John Deere 9L - 275 hp</t>
  </si>
  <si>
    <t>1068 Stacker Wagon</t>
  </si>
  <si>
    <t>Stacker, Stacker Wagon</t>
  </si>
  <si>
    <t>Perkins 354 - 120 hp</t>
  </si>
  <si>
    <t>Massey Ferguson 9870 SP Windrower</t>
  </si>
  <si>
    <t>Agco Power 7.4L - 225 hp</t>
  </si>
  <si>
    <t>2010 8345 RT Tractor</t>
  </si>
  <si>
    <t>John Deere 9L - 345 hp</t>
  </si>
  <si>
    <t>John Deere 2510 Tractor</t>
  </si>
  <si>
    <t>John Deere 3.3L - 54 hp</t>
  </si>
  <si>
    <t>John Deere 3010 Tractor</t>
  </si>
  <si>
    <t>John Deere 4.2L - 52 hp</t>
  </si>
  <si>
    <t>4235 Massey Tractor</t>
  </si>
  <si>
    <t>Perkins 4.2L - 75 hp</t>
  </si>
  <si>
    <t>1982 966D Cat Wheel Loader</t>
  </si>
  <si>
    <t>3306 Cat - 199 hp</t>
  </si>
  <si>
    <t xml:space="preserve">2001 Ford F250 </t>
  </si>
  <si>
    <t>Trucks</t>
  </si>
  <si>
    <t>7.3L Powerstroke - 250 hp</t>
  </si>
  <si>
    <t xml:space="preserve">2018 Polaris Ranger XP 900 </t>
  </si>
  <si>
    <t>JCB 505-19 Loader</t>
  </si>
  <si>
    <t>Perkins - 96 hp</t>
  </si>
  <si>
    <t xml:space="preserve">2001 Honda Elite Moped </t>
  </si>
  <si>
    <t>1991 John Deere 7800 Tractor</t>
  </si>
  <si>
    <t>John Deere 7.6L - 170 hp</t>
  </si>
  <si>
    <t>1976 Allis Chalmers 7000 Tractor</t>
  </si>
  <si>
    <t>Allis Chalmers 4.9L - 89 hp</t>
  </si>
  <si>
    <t>1976 New Holland 1048 Balewagon Harrowbed</t>
  </si>
  <si>
    <t>1988 New Holland 1068 Balewagon Harrowbed</t>
  </si>
  <si>
    <t>Ford 352 Industrial - 150 hp (gas)</t>
  </si>
  <si>
    <t>1953 Ford NAA Tractor</t>
  </si>
  <si>
    <t>Ford 2.2L - 20 hp (gas)</t>
  </si>
  <si>
    <t>Ford 4000 Tractor</t>
  </si>
  <si>
    <t>Ford 3.3L - 57 hp (gas)</t>
  </si>
  <si>
    <t>International Super M Tractor</t>
  </si>
  <si>
    <t>IH 4.3L - 44 hp (gas)</t>
  </si>
  <si>
    <t xml:space="preserve">1967 Ford F600 Truck </t>
  </si>
  <si>
    <t>Ford 391 Industrial - 200 hp (gas)</t>
  </si>
  <si>
    <t>Case 850 Crawler Loader</t>
  </si>
  <si>
    <t>Case - 72 hp</t>
  </si>
  <si>
    <t>1981 Gleaner MH2 Combine with header and cart</t>
  </si>
  <si>
    <t>Allis Chalmers - 158 hp</t>
  </si>
  <si>
    <t>International Farmall 560 tractor w/farmhand loader</t>
  </si>
  <si>
    <t>IH 4.6L - 54 hp</t>
  </si>
  <si>
    <t>1918 Case Tractor</t>
  </si>
  <si>
    <t>J.I. Case 3.9L - 10 hp (kerosene)</t>
  </si>
  <si>
    <t>2001 Honda XR250 Motorcycle</t>
  </si>
  <si>
    <t>2013 Massey Fergusson WR9870 Swather with rotary header</t>
  </si>
  <si>
    <t>1974 Mack RL600L Semi Tractor</t>
  </si>
  <si>
    <t>Mack - 250 hp</t>
  </si>
  <si>
    <t>2000 Peterbuilt Semi</t>
  </si>
  <si>
    <t>Cat - 500 hp</t>
  </si>
  <si>
    <t>2002 T800 Kenworth</t>
  </si>
  <si>
    <t>2002 379 Peterbuilt Semi</t>
  </si>
  <si>
    <t>Cat - 550 hp</t>
  </si>
  <si>
    <t>1988 Peterbuilt</t>
  </si>
  <si>
    <t>1990 Peterbuilt Semi</t>
  </si>
  <si>
    <t>Cat - 450 hp</t>
  </si>
  <si>
    <t xml:space="preserve">T800 Kenworth with Spreader Beds </t>
  </si>
  <si>
    <t>Cummins - 400</t>
  </si>
  <si>
    <t>2022 John Deere 8R 340</t>
  </si>
  <si>
    <t>John Deere 9L - 340 hp</t>
  </si>
  <si>
    <t>9520R John Deere</t>
  </si>
  <si>
    <t>John Deere 13.5L - 520 hp</t>
  </si>
  <si>
    <t>----------IMPLEMENTS----------</t>
  </si>
  <si>
    <t>Hesston 4910 Baler</t>
  </si>
  <si>
    <t>Large square baler</t>
  </si>
  <si>
    <t>1083 Corn Header Combine</t>
  </si>
  <si>
    <t>Header</t>
  </si>
  <si>
    <t>John Deere 8 Row 30'' Cornheader</t>
  </si>
  <si>
    <t>530 C Case Groundwork</t>
  </si>
  <si>
    <t>Chisel plow, subsoiler</t>
  </si>
  <si>
    <t>Case 1015 Platform</t>
  </si>
  <si>
    <t>Pickett Bean Pickup Header</t>
  </si>
  <si>
    <t>International 480 Disk</t>
  </si>
  <si>
    <t>Disk</t>
  </si>
  <si>
    <t>John Deere 1630 Disk</t>
  </si>
  <si>
    <t>7700 16 Row Corn Planter</t>
  </si>
  <si>
    <t>Planter, grain drill</t>
  </si>
  <si>
    <t>4910 Hesston Baler</t>
  </si>
  <si>
    <t>Twin Star Hay Rake</t>
  </si>
  <si>
    <t>Rake</t>
  </si>
  <si>
    <t>Tuf-line Tandem Disk</t>
  </si>
  <si>
    <t>Case PT-15 Crumbler</t>
  </si>
  <si>
    <t>Finishing Groundwork</t>
  </si>
  <si>
    <t>Case 25 1010 Header</t>
  </si>
  <si>
    <t>Brent 876 Cart</t>
  </si>
  <si>
    <t>Grain wagon</t>
  </si>
  <si>
    <t>Case 1015 Header</t>
  </si>
  <si>
    <t>Massey header and windrower for a 9870 Massey Swather</t>
  </si>
  <si>
    <t>12 Row Amity Defoliator</t>
  </si>
  <si>
    <t>Sugar beet harvester, potato harvester</t>
  </si>
  <si>
    <t>18' Triple K</t>
  </si>
  <si>
    <t>Finishing, groundwork</t>
  </si>
  <si>
    <t>15' Parma Roller Harrow</t>
  </si>
  <si>
    <t>John Deere Bedder Bar (Trit-flood irrigated)</t>
  </si>
  <si>
    <t>Row crop cultivator</t>
  </si>
  <si>
    <t>Darf Hay Rake</t>
  </si>
  <si>
    <t>13' John Deere Chisel Plow</t>
  </si>
  <si>
    <t>Orthman Strip Tiller</t>
  </si>
  <si>
    <t>6 row WIC Beet Digger</t>
  </si>
  <si>
    <t>Sugar beet harvester Potato harvester</t>
  </si>
  <si>
    <t>455 John Deere Grain Drill</t>
  </si>
  <si>
    <t>Amity 6 Row Wheel Beet Digger</t>
  </si>
  <si>
    <t>12R22 Dammer Diker</t>
  </si>
  <si>
    <t>Orthman 12 Row Strip Tiller</t>
  </si>
  <si>
    <t xml:space="preserve">Verminator </t>
  </si>
  <si>
    <t>Pest control (large equipment, verminator)</t>
  </si>
  <si>
    <t>Massey Ferguson 9196 Rotary Header</t>
  </si>
  <si>
    <t>ARTEX Spreader Box</t>
  </si>
  <si>
    <t>Manure-handling equipment</t>
  </si>
  <si>
    <t>Finishing Disk</t>
  </si>
  <si>
    <t>6200 International Grain Drill</t>
  </si>
  <si>
    <t>Pickett One-Step Bean Cutter</t>
  </si>
  <si>
    <t>Heston 4x4 baler</t>
  </si>
  <si>
    <t>John Deere 12 Row 22" Cornheader</t>
  </si>
  <si>
    <t>Ace Sprayer</t>
  </si>
  <si>
    <t>Boom sprayer</t>
  </si>
  <si>
    <t>4655 Heston Baler</t>
  </si>
  <si>
    <t>Small square baler</t>
  </si>
  <si>
    <t>John Deere 7100 Corn Planter</t>
  </si>
  <si>
    <t>New Holland Manure Spreader</t>
  </si>
  <si>
    <t>16 foot flatbed trailer</t>
  </si>
  <si>
    <t>Trailer</t>
  </si>
  <si>
    <t>8827 Allen Rake</t>
  </si>
  <si>
    <t>Freeman 200 2 tie small square baler</t>
  </si>
  <si>
    <t>Lewco small bale bale fork</t>
  </si>
  <si>
    <t>4690 AgRain Traveling Big Gun Sprinkler</t>
  </si>
  <si>
    <t>Irrigation</t>
  </si>
  <si>
    <t>International Cyclo 6 row Planter</t>
  </si>
  <si>
    <t>10 foot Krone Rototiller</t>
  </si>
  <si>
    <t>Rotary tiller</t>
  </si>
  <si>
    <t>John Deere 4600 Plow</t>
  </si>
  <si>
    <t>Moldboard plow</t>
  </si>
  <si>
    <t>Brillion 14 foot Cultipacker</t>
  </si>
  <si>
    <t>International 5100 Grain Drill</t>
  </si>
  <si>
    <t>Pak Tank 30 foot sprayer</t>
  </si>
  <si>
    <t>Du All Dump Wagon</t>
  </si>
  <si>
    <t>2006 Hesston 4790 3x4 Big Square Baler (38,000 bales)</t>
  </si>
  <si>
    <t>60 foot pull type fixed boom sprayer</t>
  </si>
  <si>
    <t>2005 Hesston 4655 2 tie Small Square baler</t>
  </si>
  <si>
    <t>2001 Sledbed trailer</t>
  </si>
  <si>
    <t>John Deere 425 Offset Disk</t>
  </si>
  <si>
    <t>Bushhog 20 foot rotary mower</t>
  </si>
  <si>
    <t>Mower, rotary</t>
  </si>
  <si>
    <t>Wilrich 42 foot field cultivator</t>
  </si>
  <si>
    <t>Field cultivator</t>
  </si>
  <si>
    <t>14 foot Packer</t>
  </si>
  <si>
    <t>Verminator Gopher baiter</t>
  </si>
  <si>
    <t>John Deere 650 Bushel Grain Cart</t>
  </si>
  <si>
    <t>2006 Delta 26 foot Gooseneck Trailer</t>
  </si>
  <si>
    <t>30 foot Morris Chisel Plow</t>
  </si>
  <si>
    <t>Pringle Traveling Sprinkler</t>
  </si>
  <si>
    <t>45 foot Flatbed Semi Trailer</t>
  </si>
  <si>
    <t>Massey Draper Header</t>
  </si>
  <si>
    <t>12 Row 22' Corn Header</t>
  </si>
  <si>
    <t>Frontier RC2084 Rotary Cutter</t>
  </si>
  <si>
    <t xml:space="preserve">BIW Trailer </t>
  </si>
  <si>
    <t xml:space="preserve">2067 Aulick Dump Trailer </t>
  </si>
  <si>
    <t>2010 Western Hopper Trailer</t>
  </si>
  <si>
    <t>Trinity Belt Trailer</t>
  </si>
  <si>
    <t>1725 12 Row Planter John Deere</t>
  </si>
  <si>
    <t>Calculations Sheet</t>
  </si>
  <si>
    <t>Settings Calculations</t>
  </si>
  <si>
    <t>Calculate Interest Expense?</t>
  </si>
  <si>
    <t>Factor:</t>
  </si>
  <si>
    <t>Depreciation Calculation</t>
  </si>
  <si>
    <t>Cost</t>
  </si>
  <si>
    <t>Cost - Salvage Value</t>
  </si>
  <si>
    <t>Double Declining Factor</t>
  </si>
  <si>
    <t>Interest Calculation</t>
  </si>
  <si>
    <t>Taxes, Insurance and Housing Calculation</t>
  </si>
  <si>
    <t>Type</t>
  </si>
  <si>
    <t>Repair Factor (percentage of asset value)</t>
  </si>
  <si>
    <t>2WD tractor (over 150 HP)</t>
  </si>
  <si>
    <t>Rotary hoe</t>
  </si>
  <si>
    <t>Mower, cutterbar</t>
  </si>
  <si>
    <t>Mower-conditioner</t>
  </si>
  <si>
    <t>Round baler</t>
  </si>
  <si>
    <t>Forage harvester, pull type</t>
  </si>
  <si>
    <t>Forage harvester, self-propelled</t>
  </si>
  <si>
    <t>Cotton picker, self-propelled</t>
  </si>
  <si>
    <t>Potato harvester</t>
  </si>
  <si>
    <t>Forage wagon</t>
  </si>
  <si>
    <t>Sprayer, self-propelled</t>
  </si>
  <si>
    <t>Feed grinders and mixers</t>
  </si>
  <si>
    <t>University of Idaho Extension - Machinery Cost Calculator</t>
  </si>
  <si>
    <t>Version 1.00, last revised 2/23/2024</t>
  </si>
  <si>
    <t>Developed with undergraduate students as part of a Directed Study. While those students prefer to remain anonymous, we greatly appreciate their efforts.</t>
  </si>
  <si>
    <r>
      <t xml:space="preserve">Included in the calculator are real values of used equipment collected from multiple farmers across the Pacific Northwest region. We appreciate their collaboration in this effort. </t>
    </r>
    <r>
      <rPr>
        <b/>
        <i/>
        <sz val="10"/>
        <rFont val="Arial"/>
        <family val="2"/>
      </rPr>
      <t>To input your OWN values, select the "NONE" option for Power Unit and Implement in the Calculator tab.</t>
    </r>
  </si>
  <si>
    <t>Authors: Tyler Hand (Graduate Student), Brett Wilder, Norm Ruhoff</t>
  </si>
  <si>
    <t>Questions?</t>
  </si>
  <si>
    <t>Contact:</t>
  </si>
  <si>
    <t>Brett Wilder</t>
  </si>
  <si>
    <t>Area Extension Educator</t>
  </si>
  <si>
    <t>bwilder@uidaho.edu</t>
  </si>
  <si>
    <t>Phone: 208-885-0263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</si>
</sst>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quot;$&quot;#,##0.0"/>
    <numFmt numFmtId="168" formatCode="&quot;$&quot;#,##0.0000"/>
  </numFmts>
  <fonts count="2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10"/>
      <name val="Arial"/>
      <family val="2"/>
    </font>
    <font>
      <sz val="9"/>
      <color indexed="81"/>
      <name val="Tahoma"/>
      <family val="2"/>
    </font>
    <font>
      <b/>
      <sz val="9"/>
      <color indexed="81"/>
      <name val="Tahoma"/>
      <family val="2"/>
    </font>
    <font>
      <sz val="12"/>
      <color rgb="FFFF0000"/>
      <name val="Calibri"/>
      <family val="2"/>
      <scheme val="minor"/>
    </font>
    <font>
      <u/>
      <sz val="11"/>
      <color theme="1"/>
      <name val="Calibri"/>
      <family val="2"/>
      <scheme val="minor"/>
    </font>
    <font>
      <sz val="11"/>
      <name val="Calibri"/>
      <family val="2"/>
      <scheme val="minor"/>
    </font>
    <font>
      <b/>
      <sz val="11"/>
      <name val="Calibri"/>
      <family val="2"/>
      <scheme val="minor"/>
    </font>
    <font>
      <b/>
      <u/>
      <sz val="11"/>
      <color rgb="FFFF0000"/>
      <name val="Calibri"/>
      <family val="2"/>
      <scheme val="minor"/>
    </font>
    <font>
      <b/>
      <sz val="18"/>
      <color theme="1"/>
      <name val="Calibri"/>
      <family val="2"/>
      <scheme val="minor"/>
    </font>
    <font>
      <i/>
      <sz val="11"/>
      <color theme="1"/>
      <name val="Calibri"/>
      <family val="2"/>
      <scheme val="minor"/>
    </font>
    <font>
      <i/>
      <sz val="11"/>
      <color rgb="FFFF0000"/>
      <name val="Calibri"/>
      <family val="2"/>
      <scheme val="minor"/>
    </font>
    <font>
      <sz val="11"/>
      <color theme="0"/>
      <name val="Calibri"/>
      <family val="2"/>
      <scheme val="minor"/>
    </font>
    <font>
      <b/>
      <sz val="11"/>
      <color theme="0" tint="-0.499984740745262"/>
      <name val="Calibri"/>
      <family val="2"/>
      <scheme val="minor"/>
    </font>
    <font>
      <b/>
      <sz val="11"/>
      <color rgb="FF808080"/>
      <name val="Calibri"/>
      <family val="2"/>
      <scheme val="minor"/>
    </font>
    <font>
      <b/>
      <i/>
      <sz val="11"/>
      <color rgb="FFFF0000"/>
      <name val="Calibri"/>
      <family val="2"/>
      <scheme val="minor"/>
    </font>
    <font>
      <b/>
      <sz val="14"/>
      <color theme="1"/>
      <name val="Calibri"/>
      <family val="2"/>
      <scheme val="minor"/>
    </font>
    <font>
      <u/>
      <sz val="11"/>
      <color theme="10"/>
      <name val="Calibri"/>
      <family val="2"/>
      <scheme val="minor"/>
    </font>
    <font>
      <b/>
      <sz val="12"/>
      <color indexed="8"/>
      <name val="Times New Roman"/>
      <family val="1"/>
    </font>
    <font>
      <u/>
      <sz val="10"/>
      <color indexed="12"/>
      <name val="Arial"/>
      <family val="2"/>
    </font>
    <font>
      <b/>
      <i/>
      <sz val="10"/>
      <name val="Arial"/>
      <family val="2"/>
    </font>
  </fonts>
  <fills count="8">
    <fill>
      <patternFill patternType="none"/>
    </fill>
    <fill>
      <patternFill patternType="gray125"/>
    </fill>
    <fill>
      <patternFill patternType="solid">
        <fgColor rgb="FFF1B300"/>
        <bgColor indexed="64"/>
      </patternFill>
    </fill>
    <fill>
      <patternFill patternType="solid">
        <fgColor rgb="FF808080"/>
        <bgColor indexed="64"/>
      </patternFill>
    </fill>
    <fill>
      <patternFill patternType="solid">
        <fgColor theme="2"/>
        <bgColor indexed="64"/>
      </patternFill>
    </fill>
    <fill>
      <patternFill patternType="solid">
        <fgColor theme="5" tint="0.79998168889431442"/>
        <bgColor indexed="64"/>
      </patternFill>
    </fill>
    <fill>
      <patternFill patternType="solid">
        <fgColor indexed="9"/>
        <bgColor indexed="64"/>
      </patternFill>
    </fill>
    <fill>
      <patternFill patternType="solid">
        <fgColor theme="0"/>
        <bgColor indexed="64"/>
      </patternFill>
    </fill>
  </fills>
  <borders count="24">
    <border>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9" fontId="1"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alignment vertical="top"/>
      <protection locked="0"/>
    </xf>
  </cellStyleXfs>
  <cellXfs count="158">
    <xf numFmtId="0" fontId="0" fillId="0" borderId="0" xfId="0"/>
    <xf numFmtId="0" fontId="0" fillId="2" borderId="0" xfId="0" applyFill="1"/>
    <xf numFmtId="0" fontId="5" fillId="2" borderId="0" xfId="0" applyFont="1" applyFill="1"/>
    <xf numFmtId="0" fontId="6" fillId="2" borderId="0" xfId="0" applyFont="1" applyFill="1"/>
    <xf numFmtId="0" fontId="0" fillId="3" borderId="0" xfId="0" applyFill="1"/>
    <xf numFmtId="0" fontId="4" fillId="0" borderId="0" xfId="0" applyFont="1"/>
    <xf numFmtId="0" fontId="0" fillId="0" borderId="0" xfId="0" applyAlignment="1">
      <alignment horizontal="center"/>
    </xf>
    <xf numFmtId="0" fontId="4" fillId="0" borderId="3" xfId="0" applyFont="1" applyBorder="1"/>
    <xf numFmtId="165" fontId="0" fillId="0" borderId="0" xfId="0" applyNumberFormat="1" applyAlignment="1">
      <alignment horizontal="center"/>
    </xf>
    <xf numFmtId="165" fontId="0" fillId="0" borderId="1" xfId="0" applyNumberFormat="1" applyBorder="1" applyAlignment="1">
      <alignment horizontal="center"/>
    </xf>
    <xf numFmtId="0" fontId="0" fillId="0" borderId="3" xfId="0" applyBorder="1"/>
    <xf numFmtId="165" fontId="0" fillId="0" borderId="4" xfId="0" applyNumberFormat="1" applyBorder="1" applyAlignment="1">
      <alignment horizontal="center"/>
    </xf>
    <xf numFmtId="6" fontId="0" fillId="0" borderId="0" xfId="0" applyNumberFormat="1"/>
    <xf numFmtId="3" fontId="0" fillId="0" borderId="0" xfId="0" applyNumberFormat="1"/>
    <xf numFmtId="0" fontId="2" fillId="3" borderId="8" xfId="0" applyFont="1" applyFill="1" applyBorder="1" applyAlignment="1">
      <alignment horizontal="center"/>
    </xf>
    <xf numFmtId="0" fontId="2" fillId="3" borderId="2" xfId="0" applyFont="1" applyFill="1" applyBorder="1" applyAlignment="1">
      <alignment horizontal="center"/>
    </xf>
    <xf numFmtId="0" fontId="0" fillId="0" borderId="1" xfId="0" applyBorder="1" applyAlignment="1">
      <alignment horizontal="center"/>
    </xf>
    <xf numFmtId="0" fontId="0" fillId="0" borderId="5" xfId="0" applyBorder="1" applyAlignment="1">
      <alignment horizontal="center"/>
    </xf>
    <xf numFmtId="0" fontId="3" fillId="0" borderId="0" xfId="0" applyFont="1" applyAlignment="1">
      <alignment horizontal="center"/>
    </xf>
    <xf numFmtId="0" fontId="0" fillId="0" borderId="7" xfId="0" applyBorder="1" applyAlignment="1">
      <alignment horizontal="center"/>
    </xf>
    <xf numFmtId="165" fontId="0" fillId="0" borderId="0" xfId="0" applyNumberFormat="1"/>
    <xf numFmtId="164" fontId="0" fillId="0" borderId="0" xfId="0" applyNumberFormat="1" applyAlignment="1">
      <alignment horizontal="center"/>
    </xf>
    <xf numFmtId="0" fontId="3" fillId="0" borderId="0" xfId="0" applyFont="1"/>
    <xf numFmtId="3" fontId="0" fillId="0" borderId="0" xfId="0" applyNumberFormat="1" applyAlignment="1">
      <alignment horizontal="center"/>
    </xf>
    <xf numFmtId="0" fontId="0" fillId="0" borderId="3" xfId="0" applyBorder="1" applyAlignment="1">
      <alignment horizontal="center"/>
    </xf>
    <xf numFmtId="0" fontId="5" fillId="0" borderId="0" xfId="0" applyFont="1"/>
    <xf numFmtId="0" fontId="7" fillId="0" borderId="0" xfId="0" applyFont="1"/>
    <xf numFmtId="0" fontId="12" fillId="0" borderId="3" xfId="0" applyFont="1" applyBorder="1"/>
    <xf numFmtId="0" fontId="12" fillId="0" borderId="7" xfId="0" applyFont="1" applyBorder="1"/>
    <xf numFmtId="0" fontId="0" fillId="0" borderId="2" xfId="0" applyBorder="1" applyAlignment="1">
      <alignment horizontal="center"/>
    </xf>
    <xf numFmtId="0" fontId="0" fillId="0" borderId="6" xfId="0" applyBorder="1" applyAlignment="1">
      <alignment horizontal="center"/>
    </xf>
    <xf numFmtId="0" fontId="0" fillId="0" borderId="0" xfId="0" quotePrefix="1"/>
    <xf numFmtId="164" fontId="0" fillId="0" borderId="0" xfId="0" applyNumberFormat="1"/>
    <xf numFmtId="0" fontId="4" fillId="0" borderId="6" xfId="0" applyFont="1" applyBorder="1"/>
    <xf numFmtId="165" fontId="0" fillId="0" borderId="8" xfId="0" applyNumberFormat="1" applyBorder="1" applyAlignment="1">
      <alignment horizontal="center"/>
    </xf>
    <xf numFmtId="165" fontId="0" fillId="0" borderId="2" xfId="0" applyNumberFormat="1" applyBorder="1" applyAlignment="1">
      <alignment horizontal="center"/>
    </xf>
    <xf numFmtId="165" fontId="15" fillId="0" borderId="5" xfId="0" applyNumberFormat="1" applyFont="1" applyBorder="1" applyAlignment="1">
      <alignment horizontal="center"/>
    </xf>
    <xf numFmtId="0" fontId="2" fillId="3" borderId="6" xfId="0" applyFont="1" applyFill="1" applyBorder="1" applyAlignment="1">
      <alignment horizontal="left"/>
    </xf>
    <xf numFmtId="165" fontId="0" fillId="0" borderId="0" xfId="0" quotePrefix="1" applyNumberFormat="1" applyAlignment="1">
      <alignment horizontal="center"/>
    </xf>
    <xf numFmtId="0" fontId="0" fillId="0" borderId="0" xfId="0" quotePrefix="1" applyAlignment="1">
      <alignment horizontal="center"/>
    </xf>
    <xf numFmtId="0" fontId="0" fillId="0" borderId="6" xfId="0" applyBorder="1"/>
    <xf numFmtId="0" fontId="0" fillId="0" borderId="3" xfId="0" quotePrefix="1" applyBorder="1" applyAlignment="1">
      <alignment horizontal="center"/>
    </xf>
    <xf numFmtId="0" fontId="0" fillId="0" borderId="8" xfId="0" applyBorder="1"/>
    <xf numFmtId="165" fontId="0" fillId="0" borderId="13" xfId="0" quotePrefix="1" applyNumberFormat="1" applyBorder="1" applyAlignment="1">
      <alignment horizontal="center"/>
    </xf>
    <xf numFmtId="10" fontId="0" fillId="0" borderId="0" xfId="1" applyNumberFormat="1" applyFont="1"/>
    <xf numFmtId="0" fontId="0" fillId="4" borderId="0" xfId="0" applyFill="1"/>
    <xf numFmtId="0" fontId="4" fillId="4" borderId="0" xfId="0" applyFont="1" applyFill="1"/>
    <xf numFmtId="167" fontId="0" fillId="0" borderId="0" xfId="0" applyNumberFormat="1" applyAlignment="1">
      <alignment horizontal="center"/>
    </xf>
    <xf numFmtId="0" fontId="16" fillId="2" borderId="0" xfId="0" applyFont="1" applyFill="1"/>
    <xf numFmtId="0" fontId="18" fillId="0" borderId="0" xfId="0" applyFont="1"/>
    <xf numFmtId="164" fontId="21" fillId="0" borderId="1" xfId="0" applyNumberFormat="1" applyFont="1" applyBorder="1" applyAlignment="1">
      <alignment horizontal="center"/>
    </xf>
    <xf numFmtId="0" fontId="21" fillId="0" borderId="1" xfId="0" applyFont="1" applyBorder="1" applyAlignment="1">
      <alignment horizontal="center"/>
    </xf>
    <xf numFmtId="0" fontId="21" fillId="0" borderId="1" xfId="0" quotePrefix="1" applyFont="1" applyBorder="1" applyAlignment="1">
      <alignment horizontal="center"/>
    </xf>
    <xf numFmtId="0" fontId="21" fillId="0" borderId="5" xfId="0" applyFont="1" applyBorder="1" applyAlignment="1">
      <alignment horizontal="center"/>
    </xf>
    <xf numFmtId="168" fontId="0" fillId="0" borderId="0" xfId="0" applyNumberFormat="1"/>
    <xf numFmtId="167" fontId="0" fillId="0" borderId="0" xfId="0" applyNumberFormat="1"/>
    <xf numFmtId="10" fontId="0" fillId="0" borderId="0" xfId="1" applyNumberFormat="1" applyFont="1" applyAlignment="1">
      <alignment horizontal="center"/>
    </xf>
    <xf numFmtId="0" fontId="0" fillId="0" borderId="0" xfId="0" applyAlignment="1">
      <alignment horizontal="left"/>
    </xf>
    <xf numFmtId="0" fontId="19" fillId="0" borderId="0" xfId="0" applyFont="1"/>
    <xf numFmtId="8" fontId="19" fillId="0" borderId="0" xfId="0" applyNumberFormat="1" applyFont="1"/>
    <xf numFmtId="44" fontId="19" fillId="0" borderId="0" xfId="0" applyNumberFormat="1" applyFont="1"/>
    <xf numFmtId="0" fontId="20" fillId="0" borderId="0" xfId="0" applyFont="1" applyAlignment="1">
      <alignment horizontal="center"/>
    </xf>
    <xf numFmtId="0" fontId="0" fillId="0" borderId="7" xfId="0" quotePrefix="1" applyBorder="1" applyAlignment="1">
      <alignment horizontal="center"/>
    </xf>
    <xf numFmtId="0" fontId="0" fillId="0" borderId="8" xfId="0" applyBorder="1" applyAlignment="1">
      <alignment horizontal="center"/>
    </xf>
    <xf numFmtId="164" fontId="20" fillId="0" borderId="0" xfId="0" applyNumberFormat="1" applyFont="1" applyAlignment="1">
      <alignment horizontal="center"/>
    </xf>
    <xf numFmtId="0" fontId="20" fillId="0" borderId="4" xfId="0" applyFont="1" applyBorder="1" applyAlignment="1">
      <alignment horizontal="center"/>
    </xf>
    <xf numFmtId="0" fontId="19" fillId="0" borderId="0" xfId="0" applyFont="1" applyAlignment="1">
      <alignment horizontal="center"/>
    </xf>
    <xf numFmtId="164" fontId="19" fillId="0" borderId="0" xfId="0" applyNumberFormat="1" applyFont="1" applyAlignment="1">
      <alignment horizontal="center"/>
    </xf>
    <xf numFmtId="0" fontId="19" fillId="0" borderId="0" xfId="0" quotePrefix="1" applyFont="1" applyAlignment="1">
      <alignment horizontal="center"/>
    </xf>
    <xf numFmtId="0" fontId="19" fillId="0" borderId="0" xfId="0" quotePrefix="1" applyFont="1"/>
    <xf numFmtId="0" fontId="0" fillId="0" borderId="10" xfId="0" applyBorder="1" applyAlignment="1">
      <alignment horizontal="center"/>
    </xf>
    <xf numFmtId="9" fontId="0" fillId="0" borderId="0" xfId="1" applyFont="1" applyAlignment="1">
      <alignment horizontal="center"/>
    </xf>
    <xf numFmtId="9" fontId="1" fillId="0" borderId="0" xfId="1" applyFont="1" applyAlignment="1">
      <alignment horizontal="center"/>
    </xf>
    <xf numFmtId="0" fontId="0" fillId="0" borderId="9" xfId="0" applyBorder="1" applyAlignment="1">
      <alignment horizontal="center" vertical="center"/>
    </xf>
    <xf numFmtId="0" fontId="0" fillId="0" borderId="21" xfId="0" applyBorder="1"/>
    <xf numFmtId="10" fontId="0" fillId="0" borderId="21" xfId="1" applyNumberFormat="1" applyFont="1" applyBorder="1" applyAlignment="1">
      <alignment horizontal="center"/>
    </xf>
    <xf numFmtId="0" fontId="0" fillId="0" borderId="23" xfId="0" applyBorder="1" applyAlignment="1">
      <alignment horizontal="center"/>
    </xf>
    <xf numFmtId="0" fontId="0" fillId="0" borderId="23" xfId="0" applyBorder="1"/>
    <xf numFmtId="0" fontId="0" fillId="5" borderId="9" xfId="0" applyFill="1" applyBorder="1" applyAlignment="1" applyProtection="1">
      <alignment vertical="center"/>
      <protection locked="0"/>
    </xf>
    <xf numFmtId="0" fontId="0" fillId="5" borderId="3" xfId="0" applyFill="1" applyBorder="1" applyAlignment="1" applyProtection="1">
      <alignment horizontal="center"/>
      <protection locked="0"/>
    </xf>
    <xf numFmtId="164" fontId="0" fillId="5" borderId="3" xfId="0" applyNumberFormat="1" applyFill="1" applyBorder="1" applyAlignment="1" applyProtection="1">
      <alignment horizontal="center"/>
      <protection locked="0"/>
    </xf>
    <xf numFmtId="0" fontId="0" fillId="5" borderId="7" xfId="0" applyFill="1" applyBorder="1" applyAlignment="1" applyProtection="1">
      <alignment horizontal="center"/>
      <protection locked="0"/>
    </xf>
    <xf numFmtId="165" fontId="0" fillId="5" borderId="12" xfId="0" applyNumberFormat="1" applyFill="1" applyBorder="1" applyAlignment="1" applyProtection="1">
      <alignment horizontal="center"/>
      <protection locked="0"/>
    </xf>
    <xf numFmtId="165" fontId="0" fillId="5" borderId="13" xfId="0" applyNumberFormat="1" applyFill="1" applyBorder="1" applyAlignment="1" applyProtection="1">
      <alignment horizontal="center"/>
      <protection locked="0"/>
    </xf>
    <xf numFmtId="165" fontId="0" fillId="5" borderId="14" xfId="0" applyNumberFormat="1" applyFill="1" applyBorder="1" applyAlignment="1" applyProtection="1">
      <alignment horizontal="center"/>
      <protection locked="0"/>
    </xf>
    <xf numFmtId="0" fontId="8" fillId="6" borderId="0" xfId="2" applyFill="1"/>
    <xf numFmtId="0" fontId="8" fillId="0" borderId="0" xfId="2"/>
    <xf numFmtId="0" fontId="25" fillId="6" borderId="0" xfId="2" applyFont="1" applyFill="1" applyAlignment="1">
      <alignment horizontal="center"/>
    </xf>
    <xf numFmtId="0" fontId="8" fillId="6" borderId="0" xfId="2" applyFill="1" applyAlignment="1">
      <alignment horizontal="center"/>
    </xf>
    <xf numFmtId="0" fontId="26" fillId="6" borderId="0" xfId="6" applyFill="1" applyAlignment="1" applyProtection="1">
      <alignment horizontal="left"/>
    </xf>
    <xf numFmtId="0" fontId="26" fillId="6" borderId="0" xfId="6" applyFill="1" applyAlignment="1" applyProtection="1"/>
    <xf numFmtId="0" fontId="8" fillId="7" borderId="0" xfId="2" applyFill="1"/>
    <xf numFmtId="0" fontId="26" fillId="0" borderId="0" xfId="6" applyAlignment="1" applyProtection="1"/>
    <xf numFmtId="0" fontId="26" fillId="6" borderId="0" xfId="6" applyFill="1" applyAlignment="1" applyProtection="1">
      <alignment horizontal="center"/>
    </xf>
    <xf numFmtId="0" fontId="24" fillId="6" borderId="0" xfId="5" applyFill="1"/>
    <xf numFmtId="0" fontId="8" fillId="6" borderId="0" xfId="2" applyFill="1" applyAlignment="1">
      <alignment textRotation="90"/>
    </xf>
    <xf numFmtId="0" fontId="8" fillId="0" borderId="0" xfId="2"/>
    <xf numFmtId="0" fontId="8" fillId="7" borderId="0" xfId="2" applyFill="1" applyAlignment="1">
      <alignment horizontal="center"/>
    </xf>
    <xf numFmtId="0" fontId="8" fillId="0" borderId="0" xfId="2" applyAlignment="1">
      <alignment horizontal="center"/>
    </xf>
    <xf numFmtId="0" fontId="8" fillId="6" borderId="0" xfId="2" applyFill="1" applyAlignment="1">
      <alignment horizontal="left" wrapText="1"/>
    </xf>
    <xf numFmtId="165" fontId="0" fillId="5" borderId="0" xfId="0" applyNumberFormat="1" applyFill="1" applyAlignment="1" applyProtection="1">
      <alignment horizontal="center"/>
      <protection locked="0"/>
    </xf>
    <xf numFmtId="165" fontId="0" fillId="5" borderId="1" xfId="0" applyNumberFormat="1" applyFill="1" applyBorder="1" applyAlignment="1" applyProtection="1">
      <alignment horizontal="center"/>
      <protection locked="0"/>
    </xf>
    <xf numFmtId="0" fontId="0" fillId="0" borderId="3" xfId="0" applyBorder="1"/>
    <xf numFmtId="0" fontId="0" fillId="0" borderId="0" xfId="0"/>
    <xf numFmtId="166" fontId="0" fillId="5" borderId="0" xfId="0" applyNumberFormat="1" applyFill="1" applyAlignment="1" applyProtection="1">
      <alignment horizontal="center"/>
      <protection locked="0"/>
    </xf>
    <xf numFmtId="166" fontId="0" fillId="5" borderId="1" xfId="0" applyNumberFormat="1" applyFill="1" applyBorder="1" applyAlignment="1" applyProtection="1">
      <alignment horizontal="center"/>
      <protection locked="0"/>
    </xf>
    <xf numFmtId="166" fontId="0" fillId="5" borderId="4" xfId="0" applyNumberFormat="1" applyFill="1" applyBorder="1" applyAlignment="1" applyProtection="1">
      <alignment horizontal="center"/>
      <protection locked="0"/>
    </xf>
    <xf numFmtId="166" fontId="0" fillId="5" borderId="5" xfId="0" applyNumberFormat="1" applyFill="1" applyBorder="1" applyAlignment="1" applyProtection="1">
      <alignment horizontal="center"/>
      <protection locked="0"/>
    </xf>
    <xf numFmtId="0" fontId="0" fillId="0" borderId="7" xfId="0" applyBorder="1"/>
    <xf numFmtId="0" fontId="0" fillId="0" borderId="4" xfId="0" applyBorder="1"/>
    <xf numFmtId="0" fontId="22" fillId="0" borderId="20" xfId="0" applyFont="1" applyBorder="1" applyAlignment="1">
      <alignment wrapText="1"/>
    </xf>
    <xf numFmtId="0" fontId="22" fillId="0" borderId="21" xfId="0" applyFont="1" applyBorder="1" applyAlignment="1">
      <alignment wrapText="1"/>
    </xf>
    <xf numFmtId="0" fontId="22" fillId="0" borderId="22" xfId="0" applyFont="1" applyBorder="1" applyAlignment="1">
      <alignment wrapText="1"/>
    </xf>
    <xf numFmtId="0" fontId="22" fillId="0" borderId="18" xfId="0" applyFont="1" applyBorder="1" applyAlignment="1">
      <alignment wrapText="1"/>
    </xf>
    <xf numFmtId="0" fontId="22" fillId="0" borderId="0" xfId="0" applyFont="1" applyAlignment="1">
      <alignment wrapText="1"/>
    </xf>
    <xf numFmtId="0" fontId="22" fillId="0" borderId="19" xfId="0" applyFont="1" applyBorder="1" applyAlignment="1">
      <alignment wrapText="1"/>
    </xf>
    <xf numFmtId="0" fontId="22" fillId="0" borderId="18" xfId="0" applyFont="1" applyBorder="1"/>
    <xf numFmtId="0" fontId="22" fillId="0" borderId="0" xfId="0" applyFont="1"/>
    <xf numFmtId="0" fontId="22" fillId="0" borderId="19" xfId="0" applyFont="1" applyBorder="1"/>
    <xf numFmtId="0" fontId="4" fillId="0" borderId="18" xfId="0" applyFont="1" applyBorder="1"/>
    <xf numFmtId="0" fontId="4" fillId="0" borderId="0" xfId="0" applyFont="1"/>
    <xf numFmtId="0" fontId="4" fillId="0" borderId="19" xfId="0" applyFont="1" applyBorder="1"/>
    <xf numFmtId="0" fontId="17" fillId="0" borderId="15" xfId="0" applyFont="1" applyBorder="1" applyAlignment="1">
      <alignment horizontal="center"/>
    </xf>
    <xf numFmtId="0" fontId="17" fillId="0" borderId="16" xfId="0" applyFont="1" applyBorder="1" applyAlignment="1">
      <alignment horizontal="center"/>
    </xf>
    <xf numFmtId="0" fontId="17" fillId="0" borderId="17" xfId="0" applyFont="1" applyBorder="1" applyAlignment="1">
      <alignment horizontal="center"/>
    </xf>
    <xf numFmtId="0" fontId="0" fillId="0" borderId="1" xfId="0" applyBorder="1"/>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0" fillId="5" borderId="0" xfId="0" applyFill="1" applyAlignment="1" applyProtection="1">
      <alignment horizontal="center"/>
      <protection locked="0"/>
    </xf>
    <xf numFmtId="0" fontId="0" fillId="5" borderId="1" xfId="0" applyFill="1" applyBorder="1" applyAlignment="1" applyProtection="1">
      <alignment horizontal="center"/>
      <protection locked="0"/>
    </xf>
    <xf numFmtId="9" fontId="0" fillId="5" borderId="0" xfId="1" applyFont="1" applyFill="1" applyBorder="1" applyAlignment="1" applyProtection="1">
      <alignment horizontal="center"/>
      <protection locked="0"/>
    </xf>
    <xf numFmtId="9" fontId="0" fillId="5" borderId="1" xfId="1" applyFont="1" applyFill="1" applyBorder="1" applyAlignment="1" applyProtection="1">
      <alignment horizontal="center"/>
      <protection locked="0"/>
    </xf>
    <xf numFmtId="0" fontId="13" fillId="0" borderId="3" xfId="0" applyFont="1" applyBorder="1" applyAlignment="1">
      <alignment horizontal="left"/>
    </xf>
    <xf numFmtId="0" fontId="13" fillId="0" borderId="0" xfId="0" applyFont="1" applyAlignment="1">
      <alignment horizontal="left"/>
    </xf>
    <xf numFmtId="0" fontId="13" fillId="5" borderId="0" xfId="0" applyFont="1" applyFill="1" applyAlignment="1" applyProtection="1">
      <alignment horizontal="center"/>
      <protection locked="0"/>
    </xf>
    <xf numFmtId="0" fontId="13" fillId="5" borderId="1" xfId="0" applyFont="1" applyFill="1" applyBorder="1" applyAlignment="1" applyProtection="1">
      <alignment horizontal="center"/>
      <protection locked="0"/>
    </xf>
    <xf numFmtId="0" fontId="2" fillId="3" borderId="6" xfId="0" applyFont="1" applyFill="1" applyBorder="1" applyAlignment="1">
      <alignment horizontal="center"/>
    </xf>
    <xf numFmtId="0" fontId="2" fillId="3" borderId="8" xfId="0" applyFont="1" applyFill="1" applyBorder="1" applyAlignment="1">
      <alignment horizontal="center"/>
    </xf>
    <xf numFmtId="0" fontId="2" fillId="3" borderId="2" xfId="0" applyFont="1" applyFill="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0" fillId="0" borderId="5" xfId="0" applyBorder="1"/>
    <xf numFmtId="0" fontId="3" fillId="0" borderId="9"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14" fillId="0" borderId="9" xfId="0" applyFont="1" applyBorder="1" applyAlignment="1">
      <alignment horizontal="center"/>
    </xf>
    <xf numFmtId="0" fontId="14" fillId="0" borderId="10" xfId="0" applyFont="1" applyBorder="1" applyAlignment="1">
      <alignment horizontal="center"/>
    </xf>
    <xf numFmtId="0" fontId="0" fillId="5" borderId="9"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14" fillId="0" borderId="11" xfId="0" applyFont="1" applyBorder="1" applyAlignment="1">
      <alignment horizontal="center"/>
    </xf>
    <xf numFmtId="0" fontId="23" fillId="0" borderId="9" xfId="0" applyFont="1" applyBorder="1" applyAlignment="1">
      <alignment horizontal="center"/>
    </xf>
    <xf numFmtId="0" fontId="23" fillId="0" borderId="10" xfId="0" applyFont="1" applyBorder="1" applyAlignment="1">
      <alignment horizontal="center"/>
    </xf>
    <xf numFmtId="0" fontId="23" fillId="0" borderId="11" xfId="0" applyFont="1" applyBorder="1" applyAlignment="1">
      <alignment horizontal="center"/>
    </xf>
    <xf numFmtId="0" fontId="17" fillId="0" borderId="8" xfId="0" applyFont="1" applyBorder="1" applyAlignment="1">
      <alignment horizontal="left" vertical="top" wrapText="1"/>
    </xf>
    <xf numFmtId="0" fontId="4" fillId="0" borderId="9" xfId="0" applyFont="1" applyBorder="1" applyAlignment="1">
      <alignment horizontal="center"/>
    </xf>
    <xf numFmtId="0" fontId="4" fillId="0" borderId="11" xfId="0" applyFont="1" applyBorder="1" applyAlignment="1">
      <alignment horizontal="center"/>
    </xf>
  </cellXfs>
  <cellStyles count="7">
    <cellStyle name="Comma 2" xfId="3" xr:uid="{CA270D87-0E57-41E5-9A15-318F0613F665}"/>
    <cellStyle name="Currency 2" xfId="4" xr:uid="{D34B2CF5-C1B2-4C01-9013-297C4A243EBA}"/>
    <cellStyle name="Hyperlink" xfId="5" builtinId="8"/>
    <cellStyle name="Hyperlink 2" xfId="6" xr:uid="{17E60C93-A487-4EB1-8A1D-EBB51CA05D54}"/>
    <cellStyle name="Normal" xfId="0" builtinId="0"/>
    <cellStyle name="Normal 2" xfId="2" xr:uid="{9EA0BCDC-9C87-4D43-A206-C3F82490E937}"/>
    <cellStyle name="Percent" xfId="1" builtinId="5"/>
  </cellStyles>
  <dxfs count="0"/>
  <tableStyles count="0" defaultTableStyle="TableStyleMedium2" defaultPivotStyle="PivotStyleLight16"/>
  <colors>
    <mruColors>
      <color rgb="FFF1B3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350520</xdr:colOff>
      <xdr:row>1</xdr:row>
      <xdr:rowOff>45720</xdr:rowOff>
    </xdr:from>
    <xdr:to>
      <xdr:col>10</xdr:col>
      <xdr:colOff>207645</xdr:colOff>
      <xdr:row>7</xdr:row>
      <xdr:rowOff>152400</xdr:rowOff>
    </xdr:to>
    <xdr:pic>
      <xdr:nvPicPr>
        <xdr:cNvPr id="2" name="Picture 4" descr="01UICALS-metallic.jpg">
          <a:extLst>
            <a:ext uri="{FF2B5EF4-FFF2-40B4-BE49-F238E27FC236}">
              <a16:creationId xmlns:a16="http://schemas.microsoft.com/office/drawing/2014/main" id="{40C31472-4EE3-40D3-98CF-C18422F57C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219075"/>
          <a:ext cx="5934075"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541020</xdr:colOff>
      <xdr:row>7</xdr:row>
      <xdr:rowOff>53340</xdr:rowOff>
    </xdr:from>
    <xdr:to>
      <xdr:col>10</xdr:col>
      <xdr:colOff>34290</xdr:colOff>
      <xdr:row>23</xdr:row>
      <xdr:rowOff>129540</xdr:rowOff>
    </xdr:to>
    <xdr:pic>
      <xdr:nvPicPr>
        <xdr:cNvPr id="3" name="Picture 1">
          <a:extLst>
            <a:ext uri="{FF2B5EF4-FFF2-40B4-BE49-F238E27FC236}">
              <a16:creationId xmlns:a16="http://schemas.microsoft.com/office/drawing/2014/main" id="{89BBB5E3-4456-4BAE-BBAF-40E7CB518DC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1514475"/>
          <a:ext cx="557212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rett\Downloads\dryland-grain-ni-2021-excel%20(4).xlsx" TargetMode="External"/><Relationship Id="rId1" Type="http://schemas.openxmlformats.org/officeDocument/2006/relationships/externalLinkPath" Target="file:///C:\Users\Brett\Downloads\dryland-grain-ni-2021-excel%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le Page"/>
      <sheetName val="Instructions &amp; Assumptions"/>
      <sheetName val="Summary"/>
      <sheetName val="Sheet1"/>
      <sheetName val="Graphical"/>
      <sheetName val="Rotation data"/>
      <sheetName val="Graph by Crop"/>
      <sheetName val="Graph by Rotation"/>
      <sheetName val="Input Prices"/>
      <sheetName val="Soft White Winter Wheat"/>
      <sheetName val="SWWW Calendar"/>
      <sheetName val="Hard Red Winter Wheat"/>
      <sheetName val="HRWW Calendar"/>
      <sheetName val="Soft White Spring Wheat"/>
      <sheetName val="SSW Calendar"/>
      <sheetName val="Hard Red Spring Wheat"/>
      <sheetName val="HRSW Calendar"/>
      <sheetName val="Feed Barley"/>
      <sheetName val="FB Calendar"/>
      <sheetName val="Spring Peas"/>
      <sheetName val="SP Calendar"/>
      <sheetName val="Austrian Winter Peas"/>
      <sheetName val="AWP Calendar"/>
      <sheetName val="Spring Lentils"/>
      <sheetName val="SL Calendar"/>
      <sheetName val="Chickpeas"/>
      <sheetName val="CP Calendar"/>
      <sheetName val="Spring Canola"/>
      <sheetName val="SC Calendar"/>
      <sheetName val="Machinery Complement"/>
      <sheetName val="Machinery Costs"/>
    </sheetNames>
    <sheetDataSet>
      <sheetData sheetId="0"/>
      <sheetData sheetId="1"/>
      <sheetData sheetId="2">
        <row r="13">
          <cell r="L13">
            <v>0.67</v>
          </cell>
        </row>
        <row r="14">
          <cell r="L14">
            <v>0.33</v>
          </cell>
        </row>
        <row r="15">
          <cell r="D15">
            <v>90</v>
          </cell>
          <cell r="E15">
            <v>5.5</v>
          </cell>
        </row>
        <row r="17">
          <cell r="D17">
            <v>60</v>
          </cell>
          <cell r="E17">
            <v>6.75</v>
          </cell>
        </row>
        <row r="19">
          <cell r="D19">
            <v>1800</v>
          </cell>
          <cell r="E19">
            <v>0.1075</v>
          </cell>
        </row>
        <row r="20">
          <cell r="E20">
            <v>0.2</v>
          </cell>
        </row>
        <row r="21">
          <cell r="E21">
            <v>0.28000000000000003</v>
          </cell>
        </row>
        <row r="22">
          <cell r="E22">
            <v>0.25</v>
          </cell>
        </row>
      </sheetData>
      <sheetData sheetId="3"/>
      <sheetData sheetId="4"/>
      <sheetData sheetId="5">
        <row r="6">
          <cell r="A6" t="str">
            <v>SWWW, SWSW, P</v>
          </cell>
        </row>
        <row r="7">
          <cell r="A7" t="str">
            <v>SWWW, SWSW, CP</v>
          </cell>
        </row>
        <row r="8">
          <cell r="A8" t="str">
            <v>SWWW, SWSW, L</v>
          </cell>
        </row>
        <row r="9">
          <cell r="A9" t="str">
            <v>SWWW, SWSW, SC</v>
          </cell>
        </row>
        <row r="10">
          <cell r="A10" t="str">
            <v>SWWW, HRSW, P</v>
          </cell>
        </row>
        <row r="11">
          <cell r="A11" t="str">
            <v>SWWW, HRSW, CP</v>
          </cell>
        </row>
        <row r="12">
          <cell r="A12" t="str">
            <v>SWWW, HRSW, L</v>
          </cell>
        </row>
        <row r="13">
          <cell r="A13" t="str">
            <v>SWWW, HRSW, SC</v>
          </cell>
        </row>
        <row r="14">
          <cell r="A14" t="str">
            <v>SWWW, SB, P</v>
          </cell>
        </row>
        <row r="15">
          <cell r="A15" t="str">
            <v>SWWW, SB, L</v>
          </cell>
        </row>
        <row r="16">
          <cell r="A16" t="str">
            <v>SWWW, SB, CP</v>
          </cell>
        </row>
        <row r="17">
          <cell r="A17" t="str">
            <v>SWWW, SB, SC</v>
          </cell>
        </row>
      </sheetData>
      <sheetData sheetId="6"/>
      <sheetData sheetId="7" refreshError="1"/>
      <sheetData sheetId="8">
        <row r="12">
          <cell r="D12">
            <v>2.5499999999999998</v>
          </cell>
        </row>
        <row r="16">
          <cell r="D16">
            <v>0.25</v>
          </cell>
        </row>
        <row r="17">
          <cell r="D17">
            <v>0.27</v>
          </cell>
        </row>
        <row r="18">
          <cell r="D18">
            <v>0.3</v>
          </cell>
        </row>
        <row r="19">
          <cell r="D19">
            <v>0.23749999999999999</v>
          </cell>
        </row>
        <row r="20">
          <cell r="D20">
            <v>0.34</v>
          </cell>
        </row>
        <row r="21">
          <cell r="D21">
            <v>0.39</v>
          </cell>
        </row>
        <row r="22">
          <cell r="D22">
            <v>0.53</v>
          </cell>
        </row>
        <row r="23">
          <cell r="D23">
            <v>11.2</v>
          </cell>
        </row>
        <row r="26">
          <cell r="D26">
            <v>0.43</v>
          </cell>
        </row>
        <row r="27">
          <cell r="D27">
            <v>0.44</v>
          </cell>
        </row>
        <row r="29">
          <cell r="D29">
            <v>0.6</v>
          </cell>
        </row>
        <row r="30">
          <cell r="D30">
            <v>0.4</v>
          </cell>
        </row>
        <row r="31">
          <cell r="D31">
            <v>0.433</v>
          </cell>
        </row>
        <row r="34">
          <cell r="D34">
            <v>0.44</v>
          </cell>
        </row>
        <row r="35">
          <cell r="D35">
            <v>1.1328125E-2</v>
          </cell>
        </row>
        <row r="36">
          <cell r="D36">
            <v>0.1534375</v>
          </cell>
        </row>
        <row r="37">
          <cell r="D37">
            <v>0.24</v>
          </cell>
        </row>
        <row r="38">
          <cell r="D38">
            <v>0.42</v>
          </cell>
        </row>
        <row r="41">
          <cell r="D41">
            <v>8.9499999999999993</v>
          </cell>
        </row>
        <row r="45">
          <cell r="D45">
            <v>2.5</v>
          </cell>
        </row>
        <row r="46">
          <cell r="D46">
            <v>2</v>
          </cell>
        </row>
        <row r="52">
          <cell r="D52">
            <v>0.80781250000000004</v>
          </cell>
        </row>
        <row r="53">
          <cell r="D53">
            <v>1.0895312500000001</v>
          </cell>
        </row>
        <row r="54">
          <cell r="D54">
            <v>0.49726562499999999</v>
          </cell>
        </row>
        <row r="55">
          <cell r="D55">
            <v>0.45351562499999998</v>
          </cell>
        </row>
        <row r="56">
          <cell r="D56">
            <v>2.5587499999999999</v>
          </cell>
        </row>
        <row r="57">
          <cell r="D57">
            <v>0.390625</v>
          </cell>
        </row>
        <row r="59">
          <cell r="D59">
            <v>0.43523437500000001</v>
          </cell>
        </row>
        <row r="60">
          <cell r="D60">
            <v>0.13</v>
          </cell>
        </row>
        <row r="61">
          <cell r="D61">
            <v>2.162109375</v>
          </cell>
        </row>
        <row r="62">
          <cell r="D62">
            <v>13.66</v>
          </cell>
        </row>
        <row r="64">
          <cell r="D64">
            <v>0.52851562500000004</v>
          </cell>
        </row>
        <row r="66">
          <cell r="D66">
            <v>4.12</v>
          </cell>
        </row>
        <row r="68">
          <cell r="D68">
            <v>0.4</v>
          </cell>
        </row>
        <row r="69">
          <cell r="D69">
            <v>2.9283593749999999</v>
          </cell>
        </row>
        <row r="71">
          <cell r="D71">
            <v>0.66273437499999999</v>
          </cell>
        </row>
        <row r="72">
          <cell r="D72">
            <v>1.179453125</v>
          </cell>
        </row>
        <row r="73">
          <cell r="D73">
            <v>0.59726562500000002</v>
          </cell>
        </row>
        <row r="77">
          <cell r="D77">
            <v>20</v>
          </cell>
        </row>
        <row r="78">
          <cell r="D78">
            <v>16</v>
          </cell>
        </row>
        <row r="79">
          <cell r="D79">
            <v>17</v>
          </cell>
        </row>
        <row r="90">
          <cell r="D90">
            <v>20</v>
          </cell>
        </row>
        <row r="94">
          <cell r="D94">
            <v>2.5000000000000001E-2</v>
          </cell>
        </row>
        <row r="97">
          <cell r="D97">
            <v>0.05</v>
          </cell>
        </row>
        <row r="100">
          <cell r="D100">
            <v>0</v>
          </cell>
        </row>
        <row r="102">
          <cell r="D102">
            <v>5.7500000000000002E-2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wilder@uidaho.edu"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74B43-9C50-4679-B5B6-0CE3A665CDFD}">
  <sheetPr>
    <pageSetUpPr fitToPage="1"/>
  </sheetPr>
  <dimension ref="A7:CA50"/>
  <sheetViews>
    <sheetView topLeftCell="A7" zoomScaleNormal="100" workbookViewId="0">
      <selection activeCell="P8" sqref="P8"/>
    </sheetView>
  </sheetViews>
  <sheetFormatPr defaultColWidth="8.6640625" defaultRowHeight="13.2" x14ac:dyDescent="0.25"/>
  <cols>
    <col min="1" max="1" width="9.44140625" style="85" customWidth="1"/>
    <col min="2" max="3" width="8.6640625" style="85" customWidth="1"/>
    <col min="4" max="4" width="17.109375" style="85" customWidth="1"/>
    <col min="5" max="5" width="10" style="85" customWidth="1"/>
    <col min="6" max="6" width="8.6640625" style="85" customWidth="1"/>
    <col min="7" max="7" width="2.33203125" style="85" customWidth="1"/>
    <col min="8" max="8" width="6.88671875" style="85" customWidth="1"/>
    <col min="9" max="9" width="8.6640625" style="85" customWidth="1"/>
    <col min="10" max="10" width="8.33203125" style="85" customWidth="1"/>
    <col min="11" max="11" width="4.6640625" style="85" customWidth="1"/>
    <col min="12" max="16384" width="8.6640625" style="85"/>
  </cols>
  <sheetData>
    <row r="7" spans="9:11" ht="33.6" customHeight="1" x14ac:dyDescent="0.25"/>
    <row r="8" spans="9:11" ht="33.6" customHeight="1" x14ac:dyDescent="0.25"/>
    <row r="9" spans="9:11" ht="33.6" customHeight="1" x14ac:dyDescent="0.25"/>
    <row r="10" spans="9:11" ht="33.6" customHeight="1" x14ac:dyDescent="0.25"/>
    <row r="14" spans="9:11" x14ac:dyDescent="0.25">
      <c r="I14" s="95"/>
      <c r="K14" s="95"/>
    </row>
    <row r="15" spans="9:11" x14ac:dyDescent="0.25">
      <c r="I15" s="96"/>
      <c r="K15" s="96"/>
    </row>
    <row r="16" spans="9:11" x14ac:dyDescent="0.25">
      <c r="I16" s="96"/>
      <c r="K16" s="96"/>
    </row>
    <row r="17" spans="2:11" ht="12.75" customHeight="1" x14ac:dyDescent="0.25">
      <c r="H17" s="95"/>
      <c r="I17" s="96"/>
      <c r="K17" s="96"/>
    </row>
    <row r="18" spans="2:11" ht="12.75" customHeight="1" x14ac:dyDescent="0.25">
      <c r="H18" s="96"/>
      <c r="I18" s="96"/>
      <c r="K18" s="96"/>
    </row>
    <row r="19" spans="2:11" x14ac:dyDescent="0.25">
      <c r="H19" s="96"/>
      <c r="I19" s="96"/>
      <c r="K19" s="96"/>
    </row>
    <row r="20" spans="2:11" x14ac:dyDescent="0.25">
      <c r="H20" s="96"/>
      <c r="I20" s="96"/>
      <c r="K20" s="96"/>
    </row>
    <row r="21" spans="2:11" x14ac:dyDescent="0.25">
      <c r="H21" s="96"/>
      <c r="I21" s="96"/>
      <c r="K21" s="96"/>
    </row>
    <row r="22" spans="2:11" ht="24.75" customHeight="1" x14ac:dyDescent="0.25">
      <c r="H22" s="96"/>
      <c r="I22" s="96"/>
      <c r="K22" s="96"/>
    </row>
    <row r="26" spans="2:11" ht="15.6" x14ac:dyDescent="0.3">
      <c r="E26" s="87" t="s">
        <v>296</v>
      </c>
    </row>
    <row r="27" spans="2:11" ht="15.6" x14ac:dyDescent="0.3">
      <c r="E27" s="87" t="s">
        <v>297</v>
      </c>
    </row>
    <row r="28" spans="2:11" ht="15.6" x14ac:dyDescent="0.3">
      <c r="E28" s="87"/>
    </row>
    <row r="29" spans="2:11" ht="15.6" customHeight="1" x14ac:dyDescent="0.25">
      <c r="B29" s="99" t="s">
        <v>298</v>
      </c>
      <c r="C29" s="99"/>
      <c r="D29" s="99"/>
      <c r="E29" s="99"/>
      <c r="F29" s="99"/>
      <c r="G29" s="99"/>
      <c r="H29" s="99"/>
      <c r="I29" s="99"/>
      <c r="J29" s="99"/>
    </row>
    <row r="30" spans="2:11" x14ac:dyDescent="0.25">
      <c r="B30" s="99"/>
      <c r="C30" s="99"/>
      <c r="D30" s="99"/>
      <c r="E30" s="99"/>
      <c r="F30" s="99"/>
      <c r="G30" s="99"/>
      <c r="H30" s="99"/>
      <c r="I30" s="99"/>
      <c r="J30" s="99"/>
    </row>
    <row r="31" spans="2:11" s="91" customFormat="1" x14ac:dyDescent="0.25">
      <c r="D31" s="89"/>
      <c r="E31" s="90"/>
      <c r="F31" s="90"/>
      <c r="G31" s="90"/>
      <c r="H31" s="90"/>
    </row>
    <row r="32" spans="2:11" s="91" customFormat="1" ht="13.2" customHeight="1" x14ac:dyDescent="0.25">
      <c r="B32" s="99" t="s">
        <v>299</v>
      </c>
      <c r="C32" s="99"/>
      <c r="D32" s="99"/>
      <c r="E32" s="99"/>
      <c r="F32" s="99"/>
      <c r="G32" s="99"/>
      <c r="H32" s="99"/>
      <c r="I32" s="99"/>
      <c r="J32" s="99"/>
    </row>
    <row r="33" spans="2:10" s="91" customFormat="1" x14ac:dyDescent="0.25">
      <c r="B33" s="99"/>
      <c r="C33" s="99"/>
      <c r="D33" s="99"/>
      <c r="E33" s="99"/>
      <c r="F33" s="99"/>
      <c r="G33" s="99"/>
      <c r="H33" s="99"/>
      <c r="I33" s="99"/>
      <c r="J33" s="99"/>
    </row>
    <row r="34" spans="2:10" s="91" customFormat="1" x14ac:dyDescent="0.25">
      <c r="B34" s="99"/>
      <c r="C34" s="99"/>
      <c r="D34" s="99"/>
      <c r="E34" s="99"/>
      <c r="F34" s="99"/>
      <c r="G34" s="99"/>
      <c r="H34" s="99"/>
      <c r="I34" s="99"/>
      <c r="J34" s="99"/>
    </row>
    <row r="35" spans="2:10" s="91" customFormat="1" ht="13.5" customHeight="1" x14ac:dyDescent="0.25">
      <c r="B35" s="99"/>
      <c r="C35" s="99"/>
      <c r="D35" s="99"/>
      <c r="E35" s="99"/>
      <c r="F35" s="99"/>
      <c r="G35" s="99"/>
      <c r="H35" s="99"/>
      <c r="I35" s="99"/>
      <c r="J35" s="99"/>
    </row>
    <row r="36" spans="2:10" s="91" customFormat="1" x14ac:dyDescent="0.25">
      <c r="D36" s="89"/>
      <c r="E36" s="90"/>
      <c r="F36" s="90"/>
      <c r="G36" s="90"/>
      <c r="H36" s="90"/>
    </row>
    <row r="37" spans="2:10" s="91" customFormat="1" x14ac:dyDescent="0.25">
      <c r="D37" s="89"/>
      <c r="E37" s="90"/>
      <c r="F37" s="90"/>
      <c r="G37" s="90"/>
      <c r="H37" s="90"/>
    </row>
    <row r="38" spans="2:10" s="91" customFormat="1" x14ac:dyDescent="0.25">
      <c r="B38" s="97" t="s">
        <v>300</v>
      </c>
      <c r="C38" s="97"/>
      <c r="D38" s="97"/>
      <c r="E38" s="97"/>
      <c r="F38" s="97"/>
      <c r="G38" s="97"/>
      <c r="H38" s="97"/>
      <c r="I38" s="97"/>
      <c r="J38" s="97"/>
    </row>
    <row r="39" spans="2:10" s="91" customFormat="1" x14ac:dyDescent="0.25">
      <c r="F39" s="88"/>
    </row>
    <row r="40" spans="2:10" x14ac:dyDescent="0.25">
      <c r="B40" s="85" t="s">
        <v>301</v>
      </c>
      <c r="E40" s="88"/>
    </row>
    <row r="41" spans="2:10" x14ac:dyDescent="0.25">
      <c r="B41" s="85" t="s">
        <v>302</v>
      </c>
      <c r="C41" s="85" t="s">
        <v>303</v>
      </c>
      <c r="E41" s="88"/>
    </row>
    <row r="42" spans="2:10" x14ac:dyDescent="0.25">
      <c r="C42" s="85" t="s">
        <v>304</v>
      </c>
      <c r="E42" s="88"/>
    </row>
    <row r="43" spans="2:10" ht="14.4" x14ac:dyDescent="0.3">
      <c r="C43" s="94" t="s">
        <v>305</v>
      </c>
      <c r="E43" s="88"/>
    </row>
    <row r="44" spans="2:10" x14ac:dyDescent="0.25">
      <c r="C44" s="85" t="s">
        <v>306</v>
      </c>
      <c r="E44" s="88"/>
    </row>
    <row r="45" spans="2:10" x14ac:dyDescent="0.25">
      <c r="E45" s="88"/>
    </row>
    <row r="46" spans="2:10" x14ac:dyDescent="0.25">
      <c r="E46" s="93"/>
    </row>
    <row r="49" spans="1:79" s="86" customFormat="1" x14ac:dyDescent="0.25">
      <c r="A49" s="85"/>
      <c r="B49" s="85"/>
      <c r="C49" s="97"/>
      <c r="D49" s="98"/>
      <c r="E49" s="98"/>
      <c r="F49" s="98"/>
      <c r="G49" s="98"/>
      <c r="H49" s="98"/>
      <c r="I49" s="98"/>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5"/>
      <c r="BR49" s="85"/>
      <c r="BS49" s="85"/>
      <c r="BT49" s="85"/>
      <c r="BU49" s="85"/>
      <c r="BV49" s="85"/>
      <c r="BW49" s="85"/>
      <c r="BX49" s="85"/>
      <c r="BY49" s="85"/>
      <c r="BZ49" s="85"/>
      <c r="CA49" s="85"/>
    </row>
    <row r="50" spans="1:79" ht="12.6" customHeight="1" x14ac:dyDescent="0.25">
      <c r="D50" s="92"/>
      <c r="E50" s="90"/>
      <c r="F50" s="90"/>
      <c r="G50" s="90"/>
      <c r="H50" s="90"/>
    </row>
  </sheetData>
  <mergeCells count="7">
    <mergeCell ref="I14:I22"/>
    <mergeCell ref="K14:K22"/>
    <mergeCell ref="H17:H22"/>
    <mergeCell ref="C49:I49"/>
    <mergeCell ref="B29:J30"/>
    <mergeCell ref="B32:J35"/>
    <mergeCell ref="B38:J38"/>
  </mergeCells>
  <hyperlinks>
    <hyperlink ref="C43" r:id="rId1" xr:uid="{AE98062F-8514-427E-88CF-30F5B731D4B3}"/>
  </hyperlinks>
  <printOptions horizontalCentered="1"/>
  <pageMargins left="0.75" right="0.75" top="1" bottom="1" header="0" footer="0.5"/>
  <pageSetup scale="84" orientation="portrait" r:id="rId2"/>
  <headerFooter alignWithMargins="0">
    <oddFooter>&amp;L&amp;A&amp;C&amp;F&amp;R
&amp;D</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9F174-1678-491E-9D64-EB870461AA40}">
  <sheetPr>
    <tabColor rgb="FFF1B300"/>
  </sheetPr>
  <dimension ref="A1:R64"/>
  <sheetViews>
    <sheetView tabSelected="1" zoomScale="66" zoomScaleNormal="66" workbookViewId="0">
      <selection activeCell="F11" sqref="F11:G11"/>
    </sheetView>
  </sheetViews>
  <sheetFormatPr defaultRowHeight="14.4" x14ac:dyDescent="0.3"/>
  <cols>
    <col min="1" max="1" width="2.5546875" customWidth="1"/>
    <col min="2" max="2" width="2.6640625" customWidth="1"/>
    <col min="3" max="3" width="9.33203125" customWidth="1"/>
    <col min="4" max="4" width="34.109375" customWidth="1"/>
    <col min="5" max="5" width="24.109375" customWidth="1"/>
    <col min="6" max="6" width="25" customWidth="1"/>
    <col min="7" max="7" width="24.5546875" customWidth="1"/>
    <col min="8" max="8" width="23" customWidth="1"/>
    <col min="9" max="9" width="3.88671875" customWidth="1"/>
    <col min="10" max="10" width="42.5546875" bestFit="1" customWidth="1"/>
    <col min="11" max="11" width="15.33203125" customWidth="1"/>
    <col min="12" max="12" width="14.109375" customWidth="1"/>
    <col min="13" max="13" width="12.88671875" customWidth="1"/>
    <col min="14" max="14" width="4.44140625" customWidth="1"/>
  </cols>
  <sheetData>
    <row r="1" spans="1:18" ht="23.4" x14ac:dyDescent="0.45">
      <c r="A1" s="1"/>
      <c r="B1" s="48" t="s">
        <v>0</v>
      </c>
      <c r="C1" s="2"/>
      <c r="D1" s="1"/>
      <c r="E1" s="1"/>
      <c r="F1" s="1"/>
      <c r="G1" s="1"/>
      <c r="H1" s="1"/>
      <c r="I1" s="1"/>
      <c r="J1" s="1"/>
      <c r="K1" s="1"/>
      <c r="L1" s="1"/>
      <c r="M1" s="1"/>
      <c r="N1" s="1"/>
      <c r="O1" s="1"/>
      <c r="P1" s="1"/>
      <c r="Q1" s="1"/>
      <c r="R1" s="1"/>
    </row>
    <row r="2" spans="1:18" ht="18" x14ac:dyDescent="0.35">
      <c r="A2" s="1"/>
      <c r="B2" s="3" t="s">
        <v>1</v>
      </c>
      <c r="C2" s="2"/>
      <c r="D2" s="1"/>
      <c r="E2" s="1"/>
      <c r="F2" s="1"/>
      <c r="G2" s="1"/>
      <c r="H2" s="1"/>
      <c r="I2" s="1"/>
      <c r="J2" s="1"/>
      <c r="K2" s="1"/>
      <c r="L2" s="1"/>
      <c r="M2" s="1"/>
      <c r="N2" s="1"/>
      <c r="O2" s="1"/>
      <c r="P2" s="1"/>
      <c r="Q2" s="1"/>
      <c r="R2" s="1"/>
    </row>
    <row r="3" spans="1:18" ht="16.2" thickBot="1" x14ac:dyDescent="0.35">
      <c r="A3" s="4"/>
      <c r="B3" s="25"/>
      <c r="C3" s="25"/>
    </row>
    <row r="4" spans="1:18" ht="16.2" thickBot="1" x14ac:dyDescent="0.35">
      <c r="A4" s="4"/>
      <c r="B4" s="25"/>
      <c r="C4" s="126" t="s">
        <v>2</v>
      </c>
      <c r="D4" s="127"/>
      <c r="E4" s="127"/>
      <c r="F4" s="127"/>
      <c r="G4" s="128"/>
      <c r="J4" s="37" t="s">
        <v>3</v>
      </c>
      <c r="K4" s="14" t="s">
        <v>4</v>
      </c>
      <c r="L4" s="14" t="s">
        <v>5</v>
      </c>
      <c r="M4" s="15" t="s">
        <v>6</v>
      </c>
    </row>
    <row r="5" spans="1:18" ht="15" thickBot="1" x14ac:dyDescent="0.35">
      <c r="A5" s="4"/>
      <c r="J5" s="33" t="s">
        <v>7</v>
      </c>
      <c r="K5" s="34"/>
      <c r="L5" s="34"/>
      <c r="M5" s="35"/>
    </row>
    <row r="6" spans="1:18" x14ac:dyDescent="0.3">
      <c r="A6" s="4"/>
      <c r="C6" s="137" t="s">
        <v>8</v>
      </c>
      <c r="D6" s="138"/>
      <c r="E6" s="138"/>
      <c r="F6" s="138"/>
      <c r="G6" s="139"/>
      <c r="J6" s="10" t="s">
        <v>9</v>
      </c>
      <c r="K6" s="8">
        <f>VLOOKUP(CalcSheet!C4,CalcSheet!A17:D18,3,FALSE)/F7</f>
        <v>2.4</v>
      </c>
      <c r="L6" s="8">
        <f>IFERROR(VLOOKUP(CalcSheet!C4,CalcSheet!A17:D18,4,FALSE)/F7,0)</f>
        <v>0.12</v>
      </c>
      <c r="M6" s="9">
        <f>IF(SUM(K6:L6)&gt;0,SUM(K6:L6),"---")</f>
        <v>2.52</v>
      </c>
    </row>
    <row r="7" spans="1:18" x14ac:dyDescent="0.3">
      <c r="A7" s="4"/>
      <c r="C7" s="133" t="s">
        <v>10</v>
      </c>
      <c r="D7" s="134"/>
      <c r="E7" s="134"/>
      <c r="F7" s="135">
        <v>1000</v>
      </c>
      <c r="G7" s="136"/>
      <c r="H7" s="18" t="s">
        <v>11</v>
      </c>
      <c r="J7" s="10" t="s">
        <v>12</v>
      </c>
      <c r="K7" s="8">
        <f>IFERROR(IF(OR(CalcSheet!C5=1,CalcSheet!C5=2),CalcSheet!B22,"---")/F7,"---")</f>
        <v>2.16</v>
      </c>
      <c r="L7" s="8">
        <f>IFERROR(IF(OR(CalcSheet!C5=1,CalcSheet!C5=3),CalcSheet!C22,"---")/F7,"---")</f>
        <v>0.108</v>
      </c>
      <c r="M7" s="9">
        <f>IF(SUM(K7:L7)&gt;0,SUM(K7:L7),"---")</f>
        <v>2.2680000000000002</v>
      </c>
    </row>
    <row r="8" spans="1:18" x14ac:dyDescent="0.3">
      <c r="A8" s="4"/>
      <c r="C8" s="102" t="s">
        <v>13</v>
      </c>
      <c r="D8" s="103"/>
      <c r="E8" s="103"/>
      <c r="F8" s="129" t="s">
        <v>14</v>
      </c>
      <c r="G8" s="130"/>
      <c r="H8" s="18" t="s">
        <v>11</v>
      </c>
      <c r="J8" s="10" t="s">
        <v>15</v>
      </c>
      <c r="K8" s="8">
        <f>CalcSheet!G32/F7</f>
        <v>1.1599999999999999</v>
      </c>
      <c r="L8" s="8">
        <f>CalcSheet!F33/Calculator!F7</f>
        <v>1.4999999999999999E-2</v>
      </c>
      <c r="M8" s="9">
        <f t="shared" ref="M8:M17" si="0">IF(SUM(K8:L8)&gt;0,SUM(K8:L8),"---")</f>
        <v>1.1749999999999998</v>
      </c>
    </row>
    <row r="9" spans="1:18" x14ac:dyDescent="0.3">
      <c r="A9" s="4"/>
      <c r="C9" s="102" t="s">
        <v>16</v>
      </c>
      <c r="D9" s="103"/>
      <c r="E9" s="103"/>
      <c r="F9" s="129" t="s">
        <v>70</v>
      </c>
      <c r="G9" s="130"/>
      <c r="H9" s="18" t="s">
        <v>11</v>
      </c>
      <c r="J9" s="10"/>
      <c r="M9" s="9"/>
    </row>
    <row r="10" spans="1:18" x14ac:dyDescent="0.3">
      <c r="A10" s="4"/>
      <c r="C10" s="102" t="s">
        <v>18</v>
      </c>
      <c r="D10" s="103"/>
      <c r="E10" s="103"/>
      <c r="F10" s="131">
        <v>0.09</v>
      </c>
      <c r="G10" s="132"/>
      <c r="H10" s="18"/>
      <c r="J10" s="27" t="s">
        <v>19</v>
      </c>
      <c r="K10" s="8">
        <f>SUM(K6:K8)</f>
        <v>5.7200000000000006</v>
      </c>
      <c r="L10" s="8">
        <f>SUM(L6:L8)</f>
        <v>0.24299999999999999</v>
      </c>
      <c r="M10" s="9">
        <f t="shared" si="0"/>
        <v>5.963000000000001</v>
      </c>
    </row>
    <row r="11" spans="1:18" x14ac:dyDescent="0.3">
      <c r="A11" s="4"/>
      <c r="C11" s="102" t="s">
        <v>20</v>
      </c>
      <c r="D11" s="103"/>
      <c r="E11" s="103"/>
      <c r="F11" s="100">
        <v>20</v>
      </c>
      <c r="G11" s="101"/>
      <c r="H11" s="18"/>
      <c r="J11" s="10"/>
      <c r="K11" s="8"/>
      <c r="L11" s="8"/>
      <c r="M11" s="9"/>
    </row>
    <row r="12" spans="1:18" x14ac:dyDescent="0.3">
      <c r="A12" s="4"/>
      <c r="C12" s="102" t="s">
        <v>21</v>
      </c>
      <c r="D12" s="103"/>
      <c r="E12" s="103"/>
      <c r="F12" s="100">
        <v>4</v>
      </c>
      <c r="G12" s="101"/>
      <c r="H12" s="18"/>
      <c r="J12" s="7" t="s">
        <v>22</v>
      </c>
      <c r="K12" s="8"/>
      <c r="L12" s="8"/>
      <c r="M12" s="9" t="str">
        <f t="shared" si="0"/>
        <v>---</v>
      </c>
    </row>
    <row r="13" spans="1:18" x14ac:dyDescent="0.3">
      <c r="A13" s="4"/>
      <c r="C13" s="102" t="s">
        <v>23</v>
      </c>
      <c r="D13" s="103"/>
      <c r="E13" s="103"/>
      <c r="F13" s="104">
        <v>5.0000000000000001E-3</v>
      </c>
      <c r="G13" s="105"/>
      <c r="H13" s="18" t="s">
        <v>11</v>
      </c>
      <c r="J13" s="10" t="s">
        <v>24</v>
      </c>
      <c r="K13" s="8">
        <f>((E52*VLOOKUP(E60,CalcTables!$B$2:$C$34,2,FALSE)/100)*E58)/$F$7</f>
        <v>0.38399999999999995</v>
      </c>
      <c r="L13" s="8">
        <f>((F52*VLOOKUP(F60,CalcTables!$B$2:$C$34,2,FALSE)/100)*F58)/$F$7</f>
        <v>0.1389</v>
      </c>
      <c r="M13" s="9">
        <f t="shared" si="0"/>
        <v>0.52289999999999992</v>
      </c>
    </row>
    <row r="14" spans="1:18" x14ac:dyDescent="0.3">
      <c r="A14" s="4"/>
      <c r="C14" s="102" t="s">
        <v>25</v>
      </c>
      <c r="D14" s="103"/>
      <c r="E14" s="103"/>
      <c r="F14" s="104">
        <v>1.4E-2</v>
      </c>
      <c r="G14" s="105"/>
      <c r="H14" s="18" t="s">
        <v>11</v>
      </c>
      <c r="J14" s="10" t="s">
        <v>26</v>
      </c>
      <c r="K14" s="8">
        <f>IF(ISBLANK(E46),((0.06*E59)*E58*F12)/F7,E46/F7)</f>
        <v>8.1599999999999984</v>
      </c>
      <c r="L14" s="38" t="s">
        <v>27</v>
      </c>
      <c r="M14" s="9">
        <f t="shared" si="0"/>
        <v>8.1599999999999984</v>
      </c>
    </row>
    <row r="15" spans="1:18" ht="15" thickBot="1" x14ac:dyDescent="0.35">
      <c r="A15" s="4"/>
      <c r="C15" s="108" t="s">
        <v>28</v>
      </c>
      <c r="D15" s="109"/>
      <c r="E15" s="109"/>
      <c r="F15" s="106">
        <v>0.01</v>
      </c>
      <c r="G15" s="107"/>
      <c r="H15" s="18" t="s">
        <v>11</v>
      </c>
      <c r="J15" s="10" t="s">
        <v>29</v>
      </c>
      <c r="K15" s="8">
        <f>(E58*F11)/F7</f>
        <v>4</v>
      </c>
      <c r="L15" s="38" t="s">
        <v>27</v>
      </c>
      <c r="M15" s="9">
        <f t="shared" si="0"/>
        <v>4</v>
      </c>
    </row>
    <row r="16" spans="1:18" x14ac:dyDescent="0.3">
      <c r="A16" s="4"/>
      <c r="J16" s="10"/>
      <c r="M16" s="9"/>
    </row>
    <row r="17" spans="1:14" x14ac:dyDescent="0.3">
      <c r="A17" s="4"/>
      <c r="J17" s="27" t="s">
        <v>30</v>
      </c>
      <c r="K17" s="8">
        <f>SUM(K13:K15)</f>
        <v>12.543999999999999</v>
      </c>
      <c r="L17" s="8">
        <f>SUM(L13:L15)</f>
        <v>0.1389</v>
      </c>
      <c r="M17" s="9">
        <f t="shared" si="0"/>
        <v>12.682899999999998</v>
      </c>
    </row>
    <row r="18" spans="1:14" ht="15" thickBot="1" x14ac:dyDescent="0.35">
      <c r="A18" s="4"/>
      <c r="J18" s="10"/>
      <c r="K18" s="8"/>
      <c r="L18" s="8"/>
      <c r="M18" s="9"/>
    </row>
    <row r="19" spans="1:14" ht="15" thickBot="1" x14ac:dyDescent="0.35">
      <c r="A19" s="4"/>
      <c r="C19" s="137" t="s">
        <v>31</v>
      </c>
      <c r="D19" s="138"/>
      <c r="E19" s="138"/>
      <c r="F19" s="138"/>
      <c r="G19" s="139"/>
      <c r="J19" s="28" t="s">
        <v>32</v>
      </c>
      <c r="K19" s="11">
        <f>SUM(K6:K17)</f>
        <v>36.527999999999999</v>
      </c>
      <c r="L19" s="11">
        <f>SUM(L6:L17)</f>
        <v>0.76380000000000003</v>
      </c>
      <c r="M19" s="36">
        <f>IF(SUM(K19:L19)&gt;0,SUM(K19:L19),"---")</f>
        <v>37.291800000000002</v>
      </c>
    </row>
    <row r="20" spans="1:14" ht="15" thickBot="1" x14ac:dyDescent="0.35">
      <c r="A20" s="4"/>
      <c r="C20" s="140" t="s">
        <v>33</v>
      </c>
      <c r="D20" s="141"/>
      <c r="E20" s="141"/>
      <c r="F20" s="141"/>
      <c r="G20" s="142"/>
    </row>
    <row r="21" spans="1:14" ht="15" thickBot="1" x14ac:dyDescent="0.35">
      <c r="A21" s="4"/>
      <c r="C21" s="147" t="s">
        <v>4</v>
      </c>
      <c r="D21" s="148"/>
      <c r="E21" s="147" t="s">
        <v>5</v>
      </c>
      <c r="F21" s="148"/>
      <c r="G21" s="151"/>
      <c r="J21" s="122" t="s">
        <v>34</v>
      </c>
      <c r="K21" s="123"/>
      <c r="L21" s="123"/>
      <c r="M21" s="124"/>
    </row>
    <row r="22" spans="1:14" ht="33.6" customHeight="1" thickBot="1" x14ac:dyDescent="0.35">
      <c r="A22" s="4"/>
      <c r="C22" s="73">
        <f>VLOOKUP(D22,UIMachCostsDataset!B1:C133,2,FALSE)</f>
        <v>67</v>
      </c>
      <c r="D22" s="78" t="s">
        <v>133</v>
      </c>
      <c r="E22" s="73">
        <f>VLOOKUP(F22,UIMachCostsDataset!B1:C133,2,FALSE)</f>
        <v>91</v>
      </c>
      <c r="F22" s="149" t="s">
        <v>249</v>
      </c>
      <c r="G22" s="150"/>
      <c r="J22" s="113" t="str">
        <f>IF(E58=0,"*Warning: A seasonal hours figure is not provided in the templates (currently calculating as 0). Please fill in a value.","")</f>
        <v/>
      </c>
      <c r="K22" s="114"/>
      <c r="L22" s="114"/>
      <c r="M22" s="115"/>
    </row>
    <row r="23" spans="1:14" x14ac:dyDescent="0.3">
      <c r="A23" s="4"/>
      <c r="J23" s="116" t="str">
        <f>IF(E59=0,"Warning: Engine hoursepower is currently set to zero/not set. Fuel cost will be zero.","")</f>
        <v/>
      </c>
      <c r="K23" s="117"/>
      <c r="L23" s="117"/>
      <c r="M23" s="118"/>
    </row>
    <row r="24" spans="1:14" ht="15" thickBot="1" x14ac:dyDescent="0.35">
      <c r="A24" s="4"/>
      <c r="J24" s="119" t="str">
        <f>IF(E56=0,"Note: The 'Years of Ownership' is set to zero, the equipment will be treated as if it was just purchased.","")</f>
        <v/>
      </c>
      <c r="K24" s="120"/>
      <c r="L24" s="120"/>
      <c r="M24" s="121"/>
    </row>
    <row r="25" spans="1:14" ht="29.1" customHeight="1" thickBot="1" x14ac:dyDescent="0.35">
      <c r="A25" s="4"/>
      <c r="C25" s="144" t="s">
        <v>37</v>
      </c>
      <c r="D25" s="145"/>
      <c r="E25" s="145"/>
      <c r="F25" s="145"/>
      <c r="G25" s="146"/>
      <c r="J25" s="110" t="str">
        <f>IF(SUM(E43:F47)=0,"","Note: You are currently using override values in the 'Actual Costs' section. Don't forget to edit this when switching to different equipment.")</f>
        <v/>
      </c>
      <c r="K25" s="111"/>
      <c r="L25" s="111"/>
      <c r="M25" s="112"/>
    </row>
    <row r="26" spans="1:14" ht="15" thickBot="1" x14ac:dyDescent="0.35">
      <c r="A26" s="4"/>
      <c r="J26" s="49"/>
    </row>
    <row r="27" spans="1:14" x14ac:dyDescent="0.3">
      <c r="A27" s="4"/>
      <c r="C27" s="40"/>
      <c r="D27" s="42"/>
      <c r="E27" s="30" t="s">
        <v>4</v>
      </c>
      <c r="F27" s="63" t="s">
        <v>38</v>
      </c>
      <c r="G27" s="30" t="s">
        <v>5</v>
      </c>
      <c r="H27" s="29" t="s">
        <v>38</v>
      </c>
      <c r="J27" s="22"/>
    </row>
    <row r="28" spans="1:14" x14ac:dyDescent="0.3">
      <c r="A28" s="4"/>
      <c r="C28" s="140" t="s">
        <v>39</v>
      </c>
      <c r="D28" s="142"/>
      <c r="E28" s="24"/>
      <c r="F28" s="6"/>
      <c r="G28" s="24"/>
      <c r="H28" s="16"/>
      <c r="J28" s="22"/>
    </row>
    <row r="29" spans="1:14" x14ac:dyDescent="0.3">
      <c r="A29" s="4"/>
      <c r="C29" s="102" t="s">
        <v>40</v>
      </c>
      <c r="D29" s="125"/>
      <c r="E29" s="79"/>
      <c r="F29" s="61" t="str">
        <f>VLOOKUP($C$22,UIMachCostsDataset!$A$1:$L$206,12,FALSE)</f>
        <v>4WD tractor</v>
      </c>
      <c r="G29" s="79"/>
      <c r="H29" s="51" t="str">
        <f>VLOOKUP($E$22,UIMachCostsDataset!$A$1:$L$206,12,FALSE)</f>
        <v>Boom sprayer</v>
      </c>
      <c r="I29" s="22" t="s">
        <v>41</v>
      </c>
      <c r="J29" s="22"/>
    </row>
    <row r="30" spans="1:14" x14ac:dyDescent="0.3">
      <c r="A30" s="4"/>
      <c r="C30" s="102"/>
      <c r="D30" s="125"/>
      <c r="E30" s="24"/>
      <c r="F30" s="6"/>
      <c r="G30" s="24"/>
      <c r="H30" s="16"/>
      <c r="J30" s="22"/>
    </row>
    <row r="31" spans="1:14" x14ac:dyDescent="0.3">
      <c r="A31" s="4"/>
      <c r="C31" s="102" t="s">
        <v>42</v>
      </c>
      <c r="D31" s="125"/>
      <c r="E31" s="80"/>
      <c r="F31" s="64">
        <f>VLOOKUP($C$22,UIMachCostsDataset!$A$1:$L$206,6,FALSE)</f>
        <v>40000</v>
      </c>
      <c r="G31" s="80"/>
      <c r="H31" s="50">
        <f>VLOOKUP($E$22,UIMachCostsDataset!$A$1:$L$206,6,FALSE)</f>
        <v>1500</v>
      </c>
    </row>
    <row r="32" spans="1:14" x14ac:dyDescent="0.3">
      <c r="A32" s="4"/>
      <c r="C32" s="102" t="s">
        <v>43</v>
      </c>
      <c r="D32" s="125"/>
      <c r="E32" s="80"/>
      <c r="F32" s="64">
        <f>VLOOKUP($C$22,UIMachCostsDataset!$A$1:$L$206,6,FALSE)</f>
        <v>40000</v>
      </c>
      <c r="G32" s="80"/>
      <c r="H32" s="50">
        <f>VLOOKUP($E$22,UIMachCostsDataset!$A$1:$L$206,6,FALSE)</f>
        <v>1500</v>
      </c>
      <c r="I32" s="22"/>
      <c r="N32" s="12"/>
    </row>
    <row r="33" spans="1:14" x14ac:dyDescent="0.3">
      <c r="A33" s="4"/>
      <c r="C33" s="102" t="s">
        <v>44</v>
      </c>
      <c r="D33" s="125"/>
      <c r="E33" s="80"/>
      <c r="F33" s="64">
        <f>VLOOKUP($C$22,UIMachCostsDataset!$A$1:$L$206,7,FALSE)</f>
        <v>16000</v>
      </c>
      <c r="G33" s="80"/>
      <c r="H33" s="50">
        <f>VLOOKUP($E$22,UIMachCostsDataset!$A$1:$L$206,7,FALSE)</f>
        <v>300</v>
      </c>
      <c r="N33" s="12"/>
    </row>
    <row r="34" spans="1:14" x14ac:dyDescent="0.3">
      <c r="A34" s="4"/>
      <c r="C34" s="102" t="s">
        <v>45</v>
      </c>
      <c r="D34" s="125"/>
      <c r="E34" s="79">
        <v>10</v>
      </c>
      <c r="F34" s="61">
        <f>VLOOKUP($C$22,UIMachCostsDataset!$A$1:$L$206,8,FALSE)</f>
        <v>20</v>
      </c>
      <c r="G34" s="79"/>
      <c r="H34" s="51">
        <f>VLOOKUP($E$22,UIMachCostsDataset!$A$1:$L$206,8,FALSE)</f>
        <v>10</v>
      </c>
    </row>
    <row r="35" spans="1:14" x14ac:dyDescent="0.3">
      <c r="A35" s="4"/>
      <c r="C35" s="102" t="s">
        <v>46</v>
      </c>
      <c r="D35" s="125"/>
      <c r="E35" s="79"/>
      <c r="F35" s="61">
        <f>VLOOKUP($C$22,UIMachCostsDataset!$A$1:$L$206,9,FALSE)</f>
        <v>9</v>
      </c>
      <c r="G35" s="79"/>
      <c r="H35" s="51">
        <f>VLOOKUP($E$22,UIMachCostsDataset!$A$1:$L$206,9,FALSE)</f>
        <v>5</v>
      </c>
    </row>
    <row r="36" spans="1:14" x14ac:dyDescent="0.3">
      <c r="A36" s="4"/>
      <c r="C36" s="102"/>
      <c r="D36" s="125"/>
      <c r="E36" s="24"/>
      <c r="F36" s="61"/>
      <c r="G36" s="24"/>
      <c r="H36" s="51"/>
      <c r="J36" s="54"/>
    </row>
    <row r="37" spans="1:14" x14ac:dyDescent="0.3">
      <c r="A37" s="4"/>
      <c r="C37" s="102" t="s">
        <v>47</v>
      </c>
      <c r="D37" s="125"/>
      <c r="E37" s="79">
        <v>200</v>
      </c>
      <c r="F37" s="61">
        <f>VLOOKUP($C$22,UIMachCostsDataset!$A$1:$L$206,10,FALSE)</f>
        <v>1200</v>
      </c>
      <c r="G37" s="41">
        <f>E37</f>
        <v>200</v>
      </c>
      <c r="H37" s="52" t="s">
        <v>27</v>
      </c>
      <c r="J37" s="55"/>
    </row>
    <row r="38" spans="1:14" ht="15" thickBot="1" x14ac:dyDescent="0.35">
      <c r="A38" s="4"/>
      <c r="C38" s="108" t="s">
        <v>48</v>
      </c>
      <c r="D38" s="143"/>
      <c r="E38" s="81"/>
      <c r="F38" s="65">
        <f>VLOOKUP($C$22,UIMachCostsDataset!$A$1:$L$206,11,FALSE)</f>
        <v>170</v>
      </c>
      <c r="G38" s="62" t="s">
        <v>27</v>
      </c>
      <c r="H38" s="53">
        <f>VLOOKUP($E$22,UIMachCostsDataset!$A$1:$L$206,11,FALSE)</f>
        <v>0</v>
      </c>
    </row>
    <row r="39" spans="1:14" ht="15" thickBot="1" x14ac:dyDescent="0.35">
      <c r="A39" s="4"/>
    </row>
    <row r="40" spans="1:14" ht="30" customHeight="1" thickBot="1" x14ac:dyDescent="0.35">
      <c r="A40" s="4"/>
      <c r="C40" s="144" t="s">
        <v>49</v>
      </c>
      <c r="D40" s="145"/>
      <c r="E40" s="145"/>
      <c r="F40" s="145"/>
      <c r="G40" s="146"/>
    </row>
    <row r="41" spans="1:14" x14ac:dyDescent="0.3">
      <c r="A41" s="4"/>
    </row>
    <row r="42" spans="1:14" ht="15" thickBot="1" x14ac:dyDescent="0.35">
      <c r="A42" s="4"/>
      <c r="C42" s="5" t="s">
        <v>50</v>
      </c>
      <c r="E42" t="s">
        <v>4</v>
      </c>
      <c r="F42" t="s">
        <v>5</v>
      </c>
    </row>
    <row r="43" spans="1:14" x14ac:dyDescent="0.3">
      <c r="A43" s="4"/>
      <c r="C43" t="s">
        <v>51</v>
      </c>
      <c r="E43" s="82"/>
      <c r="F43" s="82"/>
    </row>
    <row r="44" spans="1:14" x14ac:dyDescent="0.3">
      <c r="A44" s="4"/>
      <c r="C44" t="s">
        <v>52</v>
      </c>
      <c r="E44" s="83"/>
      <c r="F44" s="83"/>
    </row>
    <row r="45" spans="1:14" x14ac:dyDescent="0.3">
      <c r="A45" s="4"/>
      <c r="C45" t="s">
        <v>53</v>
      </c>
      <c r="E45" s="83"/>
      <c r="F45" s="83"/>
    </row>
    <row r="46" spans="1:14" x14ac:dyDescent="0.3">
      <c r="A46" s="4"/>
      <c r="C46" t="s">
        <v>54</v>
      </c>
      <c r="E46" s="83"/>
      <c r="F46" s="43" t="s">
        <v>27</v>
      </c>
    </row>
    <row r="47" spans="1:14" ht="15" thickBot="1" x14ac:dyDescent="0.35">
      <c r="A47" s="4"/>
      <c r="C47" t="s">
        <v>55</v>
      </c>
      <c r="E47" s="84"/>
      <c r="F47" s="84"/>
    </row>
    <row r="48" spans="1:14" ht="15" thickBot="1" x14ac:dyDescent="0.35">
      <c r="A48" s="4"/>
    </row>
    <row r="49" spans="1:11" ht="15" thickBot="1" x14ac:dyDescent="0.35">
      <c r="A49" s="4"/>
      <c r="C49" s="144" t="s">
        <v>56</v>
      </c>
      <c r="D49" s="145"/>
      <c r="E49" s="145"/>
      <c r="F49" s="145"/>
      <c r="G49" s="146"/>
    </row>
    <row r="50" spans="1:11" x14ac:dyDescent="0.3">
      <c r="A50" s="4"/>
      <c r="K50" s="12"/>
    </row>
    <row r="51" spans="1:11" x14ac:dyDescent="0.3">
      <c r="A51" s="4"/>
      <c r="C51" s="58"/>
      <c r="D51" s="58"/>
      <c r="E51" s="66" t="s">
        <v>4</v>
      </c>
      <c r="F51" s="66" t="s">
        <v>5</v>
      </c>
      <c r="G51" s="58"/>
      <c r="H51" s="58"/>
      <c r="I51" s="22"/>
      <c r="K51" s="12"/>
    </row>
    <row r="52" spans="1:11" x14ac:dyDescent="0.3">
      <c r="A52" s="4"/>
      <c r="C52" s="58" t="s">
        <v>42</v>
      </c>
      <c r="D52" s="58"/>
      <c r="E52" s="67">
        <f>IF(ISBLANK(E31),F31,E31)</f>
        <v>40000</v>
      </c>
      <c r="F52" s="67">
        <f>IF(ISBLANK(G31),H31,G31)</f>
        <v>1500</v>
      </c>
      <c r="G52" s="58"/>
      <c r="H52" s="58"/>
    </row>
    <row r="53" spans="1:11" x14ac:dyDescent="0.3">
      <c r="A53" s="4"/>
      <c r="C53" s="58" t="s">
        <v>43</v>
      </c>
      <c r="D53" s="58"/>
      <c r="E53" s="67">
        <f>IF(ISBLANK(E32),F32,E32)</f>
        <v>40000</v>
      </c>
      <c r="F53" s="67">
        <f>IF(ISBLANK(G32),H32,G32)</f>
        <v>1500</v>
      </c>
      <c r="G53" s="58"/>
      <c r="H53" s="58"/>
    </row>
    <row r="54" spans="1:11" x14ac:dyDescent="0.3">
      <c r="A54" s="4"/>
      <c r="C54" s="58" t="s">
        <v>44</v>
      </c>
      <c r="D54" s="58"/>
      <c r="E54" s="67">
        <f>IF(ISBLANK(E33),F33,E33)</f>
        <v>16000</v>
      </c>
      <c r="F54" s="67">
        <f>IF(ISBLANK(G33),H33,G33)</f>
        <v>300</v>
      </c>
      <c r="G54" s="58"/>
      <c r="H54" s="58"/>
    </row>
    <row r="55" spans="1:11" x14ac:dyDescent="0.3">
      <c r="A55" s="4"/>
      <c r="C55" s="58" t="s">
        <v>45</v>
      </c>
      <c r="D55" s="58"/>
      <c r="E55" s="66">
        <f>IF(ISBLANK(E34),F34,E34)</f>
        <v>10</v>
      </c>
      <c r="F55" s="66">
        <f>IF(ISBLANK(G34),H34,G34)</f>
        <v>10</v>
      </c>
      <c r="G55" s="58"/>
      <c r="H55" s="58"/>
    </row>
    <row r="56" spans="1:11" x14ac:dyDescent="0.3">
      <c r="A56" s="4"/>
      <c r="C56" s="58" t="s">
        <v>46</v>
      </c>
      <c r="D56" s="58"/>
      <c r="E56" s="66">
        <f>IF(ISBLANK(E35),F35,E35)</f>
        <v>9</v>
      </c>
      <c r="F56" s="66">
        <f>IF(ISBLANK(G35),H35,G35)</f>
        <v>5</v>
      </c>
      <c r="G56" s="58"/>
      <c r="H56" s="58"/>
      <c r="K56" s="13"/>
    </row>
    <row r="57" spans="1:11" x14ac:dyDescent="0.3">
      <c r="A57" s="4"/>
      <c r="C57" s="58"/>
      <c r="D57" s="58"/>
      <c r="E57" s="66"/>
      <c r="F57" s="66"/>
      <c r="G57" s="58"/>
      <c r="H57" s="68" t="s">
        <v>27</v>
      </c>
      <c r="K57" s="13"/>
    </row>
    <row r="58" spans="1:11" x14ac:dyDescent="0.3">
      <c r="A58" s="4"/>
      <c r="C58" s="58" t="s">
        <v>47</v>
      </c>
      <c r="D58" s="58"/>
      <c r="E58" s="66">
        <f>IF(ISBLANK(E37),F37,E37)</f>
        <v>200</v>
      </c>
      <c r="F58" s="66">
        <f>IF(ISBLANK(G37),H37,G37)</f>
        <v>200</v>
      </c>
      <c r="G58" s="69"/>
      <c r="H58" s="58"/>
    </row>
    <row r="59" spans="1:11" x14ac:dyDescent="0.3">
      <c r="A59" s="4"/>
      <c r="C59" s="58" t="s">
        <v>48</v>
      </c>
      <c r="D59" s="58"/>
      <c r="E59" s="66">
        <f>IF(ISBLANK(E38),F38,E38)</f>
        <v>170</v>
      </c>
      <c r="F59" s="66" t="s">
        <v>27</v>
      </c>
      <c r="G59" s="58"/>
      <c r="H59" s="58"/>
    </row>
    <row r="60" spans="1:11" x14ac:dyDescent="0.3">
      <c r="A60" s="4"/>
      <c r="C60" s="58" t="s">
        <v>57</v>
      </c>
      <c r="D60" s="58"/>
      <c r="E60" s="66" t="str">
        <f>IF(ISBLANK(E29),F29,E29)</f>
        <v>4WD tractor</v>
      </c>
      <c r="F60" s="66" t="str">
        <f>IF(ISBLANK(G29),H29,G29)</f>
        <v>Boom sprayer</v>
      </c>
      <c r="G60" s="58"/>
      <c r="H60" s="58"/>
    </row>
    <row r="61" spans="1:11" x14ac:dyDescent="0.3">
      <c r="C61" s="58"/>
      <c r="D61" s="58"/>
      <c r="E61" s="58"/>
      <c r="F61" s="58"/>
      <c r="G61" s="58"/>
      <c r="H61" s="58"/>
    </row>
    <row r="62" spans="1:11" x14ac:dyDescent="0.3">
      <c r="C62" s="58"/>
      <c r="D62" s="58"/>
      <c r="E62" s="58"/>
      <c r="F62" s="58"/>
      <c r="G62" s="58"/>
      <c r="H62" s="58"/>
    </row>
    <row r="64" spans="1:11" x14ac:dyDescent="0.3">
      <c r="H64" t="s">
        <v>58</v>
      </c>
    </row>
  </sheetData>
  <sheetProtection algorithmName="SHA-512" hashValue="zB5HiqYfPeuU/qWJwpvIPiv9ktRMaoJeFHfYlHTftmKzrpwUiFwvRLh6G65iYAr4RJFs0FDsrPqw/sV7kmwy5A==" saltValue="pwJn8sP1fg79DV+Sqj7jHQ==" spinCount="100000" sheet="1" objects="1" scenarios="1"/>
  <protectedRanges>
    <protectedRange sqref="F47" name="AllowOv3"/>
    <protectedRange sqref="F43:F45" name="AllowOv2"/>
    <protectedRange sqref="E43:E47" name="AllowOv1"/>
    <protectedRange sqref="E37:E38" name="AllowSetOpHoursAndHO"/>
    <protectedRange sqref="F7:G15" name="AllowSettings"/>
    <protectedRange sqref="D22" name="AllowPowerUnit"/>
    <protectedRange sqref="F22" name="AllowImplement"/>
    <protectedRange sqref="E29" name="AllowCat1"/>
    <protectedRange sqref="G29" name="AllowCat2"/>
    <protectedRange sqref="E31:E35" name="AllowSetRange1"/>
    <protectedRange sqref="G31:G35" name="AllowSetRange2"/>
  </protectedRanges>
  <mergeCells count="44">
    <mergeCell ref="C38:D38"/>
    <mergeCell ref="C25:G25"/>
    <mergeCell ref="C40:G40"/>
    <mergeCell ref="C49:G49"/>
    <mergeCell ref="C21:D21"/>
    <mergeCell ref="F22:G22"/>
    <mergeCell ref="E21:G21"/>
    <mergeCell ref="C29:D29"/>
    <mergeCell ref="C28:D28"/>
    <mergeCell ref="C31:D31"/>
    <mergeCell ref="C30:D30"/>
    <mergeCell ref="C32:D32"/>
    <mergeCell ref="C33:D33"/>
    <mergeCell ref="C34:D34"/>
    <mergeCell ref="C35:D35"/>
    <mergeCell ref="C36:D36"/>
    <mergeCell ref="C37:D37"/>
    <mergeCell ref="C4:G4"/>
    <mergeCell ref="C8:E8"/>
    <mergeCell ref="C9:E9"/>
    <mergeCell ref="C10:E10"/>
    <mergeCell ref="C11:E11"/>
    <mergeCell ref="F8:G8"/>
    <mergeCell ref="F9:G9"/>
    <mergeCell ref="F10:G10"/>
    <mergeCell ref="F11:G11"/>
    <mergeCell ref="C7:E7"/>
    <mergeCell ref="F7:G7"/>
    <mergeCell ref="C19:G19"/>
    <mergeCell ref="C20:G20"/>
    <mergeCell ref="C6:G6"/>
    <mergeCell ref="F13:G13"/>
    <mergeCell ref="J25:M25"/>
    <mergeCell ref="J22:M22"/>
    <mergeCell ref="J23:M23"/>
    <mergeCell ref="J24:M24"/>
    <mergeCell ref="J21:M21"/>
    <mergeCell ref="F12:G12"/>
    <mergeCell ref="C12:E12"/>
    <mergeCell ref="F14:G14"/>
    <mergeCell ref="F15:G15"/>
    <mergeCell ref="C13:E13"/>
    <mergeCell ref="C14:E14"/>
    <mergeCell ref="C15:E15"/>
  </mergeCells>
  <pageMargins left="0.7" right="0.7" top="0.75" bottom="0.75" header="0.3" footer="0.3"/>
  <pageSetup scale="50" orientation="landscape" r:id="rId1"/>
  <rowBreaks count="1" manualBreakCount="1">
    <brk id="48" max="16383" man="1"/>
  </rowBreaks>
  <colBreaks count="1" manualBreakCount="1">
    <brk id="14" max="1048575" man="1"/>
  </colBreaks>
  <legacyDrawing r:id="rId2"/>
  <extLst>
    <ext xmlns:x14="http://schemas.microsoft.com/office/spreadsheetml/2009/9/main" uri="{CCE6A557-97BC-4b89-ADB6-D9C93CAAB3DF}">
      <x14:dataValidations xmlns:xm="http://schemas.microsoft.com/office/excel/2006/main" count="4">
        <x14:dataValidation type="list" showInputMessage="1" showErrorMessage="1" xr:uid="{CEB791CF-3817-4C25-9A0E-005E62EEFC21}">
          <x14:formula1>
            <xm:f>DataValidation!$B$3:$B$4</xm:f>
          </x14:formula1>
          <xm:sqref>F8</xm:sqref>
        </x14:dataValidation>
        <x14:dataValidation type="list" showInputMessage="1" showErrorMessage="1" xr:uid="{38BB4F47-00BB-4FA6-BD60-315D5AD7CB99}">
          <x14:formula1>
            <xm:f>DataValidation!$E$3:$E$6</xm:f>
          </x14:formula1>
          <xm:sqref>F9</xm:sqref>
        </x14:dataValidation>
        <x14:dataValidation type="list" allowBlank="1" showInputMessage="1" showErrorMessage="1" xr:uid="{AF03D3FB-8AF9-4CEE-B737-624D6FF3234E}">
          <x14:formula1>
            <xm:f>CalcTables!$B$3:$B$60</xm:f>
          </x14:formula1>
          <xm:sqref>G29 E29</xm:sqref>
        </x14:dataValidation>
        <x14:dataValidation type="list" showInputMessage="1" showErrorMessage="1" xr:uid="{3FB5D6F5-D07F-439C-B006-B0F6EF87DE47}">
          <x14:formula1>
            <xm:f>UIMachCostsDataset!$B$4:$B$133</xm:f>
          </x14:formula1>
          <xm:sqref>D22 F22:G22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B2C9E-758C-42CF-866E-C4A0C705631D}">
  <dimension ref="B1:H17"/>
  <sheetViews>
    <sheetView showGridLines="0" view="pageBreakPreview" zoomScale="60" zoomScaleNormal="100" workbookViewId="0">
      <selection activeCell="J31" sqref="J31"/>
    </sheetView>
  </sheetViews>
  <sheetFormatPr defaultRowHeight="14.4" x14ac:dyDescent="0.3"/>
  <cols>
    <col min="1" max="1" width="2.6640625" customWidth="1"/>
    <col min="2" max="2" width="22" customWidth="1"/>
    <col min="3" max="3" width="17.109375" bestFit="1" customWidth="1"/>
    <col min="4" max="4" width="15.44140625" bestFit="1" customWidth="1"/>
    <col min="5" max="5" width="11.6640625" customWidth="1"/>
    <col min="6" max="6" width="12.6640625" customWidth="1"/>
    <col min="7" max="7" width="15.88671875" customWidth="1"/>
    <col min="8" max="8" width="15.44140625" customWidth="1"/>
  </cols>
  <sheetData>
    <row r="1" spans="2:8" ht="15" thickBot="1" x14ac:dyDescent="0.35"/>
    <row r="2" spans="2:8" ht="18.600000000000001" thickBot="1" x14ac:dyDescent="0.4">
      <c r="B2" s="152" t="s">
        <v>59</v>
      </c>
      <c r="C2" s="153"/>
      <c r="D2" s="153"/>
      <c r="E2" s="153"/>
      <c r="F2" s="153"/>
      <c r="G2" s="153"/>
      <c r="H2" s="154"/>
    </row>
    <row r="3" spans="2:8" ht="15" thickBot="1" x14ac:dyDescent="0.35"/>
    <row r="4" spans="2:8" ht="15" thickBot="1" x14ac:dyDescent="0.35">
      <c r="B4" s="70" t="s">
        <v>60</v>
      </c>
      <c r="C4" s="70" t="s">
        <v>61</v>
      </c>
      <c r="D4" s="70" t="s">
        <v>62</v>
      </c>
      <c r="E4" s="70" t="s">
        <v>63</v>
      </c>
      <c r="F4" s="70" t="s">
        <v>64</v>
      </c>
      <c r="G4" s="70" t="s">
        <v>65</v>
      </c>
      <c r="H4" s="70" t="s">
        <v>66</v>
      </c>
    </row>
    <row r="5" spans="2:8" x14ac:dyDescent="0.3">
      <c r="B5" s="6">
        <v>1</v>
      </c>
      <c r="C5" s="71">
        <v>0.68</v>
      </c>
      <c r="D5" s="71">
        <v>0.67</v>
      </c>
      <c r="E5" s="71">
        <v>0.69</v>
      </c>
      <c r="F5" s="71">
        <v>0.56000000000000005</v>
      </c>
      <c r="G5" s="72">
        <v>0.61</v>
      </c>
      <c r="H5" s="71">
        <v>0.65</v>
      </c>
    </row>
    <row r="6" spans="2:8" x14ac:dyDescent="0.3">
      <c r="B6" s="6">
        <v>2</v>
      </c>
      <c r="C6" s="71">
        <v>0.62</v>
      </c>
      <c r="D6" s="71">
        <v>0.59</v>
      </c>
      <c r="E6" s="71">
        <v>0.57999999999999996</v>
      </c>
      <c r="F6" s="71">
        <v>0.5</v>
      </c>
      <c r="G6" s="71">
        <v>0.54</v>
      </c>
      <c r="H6" s="71">
        <v>0.6</v>
      </c>
    </row>
    <row r="7" spans="2:8" x14ac:dyDescent="0.3">
      <c r="B7" s="6">
        <v>3</v>
      </c>
      <c r="C7" s="71">
        <v>0.56999999999999995</v>
      </c>
      <c r="D7" s="71">
        <v>0.54</v>
      </c>
      <c r="E7" s="71">
        <v>0.5</v>
      </c>
      <c r="F7" s="71">
        <v>0.46</v>
      </c>
      <c r="G7" s="71">
        <v>0.49</v>
      </c>
      <c r="H7" s="71">
        <v>0.56000000000000005</v>
      </c>
    </row>
    <row r="8" spans="2:8" x14ac:dyDescent="0.3">
      <c r="B8" s="6">
        <v>4</v>
      </c>
      <c r="C8" s="71">
        <v>0.53</v>
      </c>
      <c r="D8" s="71">
        <v>0.49</v>
      </c>
      <c r="E8" s="71">
        <v>0.44</v>
      </c>
      <c r="F8" s="71">
        <v>0.42</v>
      </c>
      <c r="G8" s="71">
        <v>0.45</v>
      </c>
      <c r="H8" s="71">
        <v>0.53</v>
      </c>
    </row>
    <row r="9" spans="2:8" x14ac:dyDescent="0.3">
      <c r="B9" s="6">
        <v>5</v>
      </c>
      <c r="C9" s="71">
        <v>0.49</v>
      </c>
      <c r="D9" s="71">
        <v>0.45</v>
      </c>
      <c r="E9" s="71">
        <v>0.39</v>
      </c>
      <c r="F9" s="71">
        <v>0.39</v>
      </c>
      <c r="G9" s="71">
        <v>0.42</v>
      </c>
      <c r="H9" s="71">
        <v>0.5</v>
      </c>
    </row>
    <row r="10" spans="2:8" x14ac:dyDescent="0.3">
      <c r="B10" s="6">
        <v>6</v>
      </c>
      <c r="C10" s="71">
        <v>0.46</v>
      </c>
      <c r="D10" s="71">
        <v>0.42</v>
      </c>
      <c r="E10" s="71">
        <v>0.35</v>
      </c>
      <c r="F10" s="71">
        <v>0.37</v>
      </c>
      <c r="G10" s="71">
        <v>0.39</v>
      </c>
      <c r="H10" s="71">
        <v>0.48</v>
      </c>
    </row>
    <row r="11" spans="2:8" x14ac:dyDescent="0.3">
      <c r="B11" s="6">
        <v>7</v>
      </c>
      <c r="C11" s="71">
        <v>0.44</v>
      </c>
      <c r="D11" s="71">
        <v>0.39</v>
      </c>
      <c r="E11" s="71">
        <v>0.31</v>
      </c>
      <c r="F11" s="71">
        <v>0.34</v>
      </c>
      <c r="G11" s="71">
        <v>0.36</v>
      </c>
      <c r="H11" s="71">
        <v>0.46</v>
      </c>
    </row>
    <row r="12" spans="2:8" x14ac:dyDescent="0.3">
      <c r="B12" s="6">
        <v>8</v>
      </c>
      <c r="C12" s="71">
        <v>0.41</v>
      </c>
      <c r="D12" s="71">
        <v>0.36</v>
      </c>
      <c r="E12" s="71">
        <v>0.28000000000000003</v>
      </c>
      <c r="F12" s="71">
        <v>0.32</v>
      </c>
      <c r="G12" s="71">
        <v>0.34</v>
      </c>
      <c r="H12" s="71">
        <v>0.44</v>
      </c>
    </row>
    <row r="13" spans="2:8" x14ac:dyDescent="0.3">
      <c r="B13" s="6">
        <v>9</v>
      </c>
      <c r="C13" s="71">
        <v>0.39</v>
      </c>
      <c r="D13" s="71">
        <v>0.34</v>
      </c>
      <c r="E13" s="71">
        <v>0.25</v>
      </c>
      <c r="F13" s="71">
        <v>0.3</v>
      </c>
      <c r="G13" s="71">
        <v>0.31</v>
      </c>
      <c r="H13" s="71">
        <v>0.42</v>
      </c>
    </row>
    <row r="14" spans="2:8" x14ac:dyDescent="0.3">
      <c r="B14" s="6">
        <v>10</v>
      </c>
      <c r="C14" s="71">
        <v>0.37</v>
      </c>
      <c r="D14" s="71">
        <v>0.32</v>
      </c>
      <c r="E14" s="71">
        <v>0.22</v>
      </c>
      <c r="F14" s="71">
        <v>0.28000000000000003</v>
      </c>
      <c r="G14" s="71">
        <v>0.3</v>
      </c>
      <c r="H14" s="71">
        <v>0.4</v>
      </c>
    </row>
    <row r="15" spans="2:8" x14ac:dyDescent="0.3">
      <c r="B15" s="6">
        <v>11</v>
      </c>
      <c r="C15" s="71">
        <v>0.35</v>
      </c>
      <c r="D15" s="71">
        <v>0.3</v>
      </c>
      <c r="E15" s="71">
        <v>0.2</v>
      </c>
      <c r="F15" s="71">
        <v>0.27</v>
      </c>
      <c r="G15" s="71">
        <v>0.28000000000000003</v>
      </c>
      <c r="H15" s="71">
        <v>0.39</v>
      </c>
    </row>
    <row r="16" spans="2:8" ht="15" thickBot="1" x14ac:dyDescent="0.35">
      <c r="B16" s="6">
        <v>12</v>
      </c>
      <c r="C16" s="71">
        <v>0.34</v>
      </c>
      <c r="D16" s="71">
        <v>0.28000000000000003</v>
      </c>
      <c r="E16" s="71">
        <v>0.18</v>
      </c>
      <c r="F16" s="71">
        <v>0.25</v>
      </c>
      <c r="G16" s="71">
        <v>0.26</v>
      </c>
      <c r="H16" s="71">
        <v>0.38</v>
      </c>
    </row>
    <row r="17" spans="2:8" ht="29.1" customHeight="1" x14ac:dyDescent="0.3">
      <c r="B17" s="155" t="s">
        <v>67</v>
      </c>
      <c r="C17" s="155"/>
      <c r="D17" s="155"/>
      <c r="E17" s="155"/>
      <c r="F17" s="155"/>
      <c r="G17" s="155"/>
      <c r="H17" s="155"/>
    </row>
  </sheetData>
  <sheetProtection algorithmName="SHA-512" hashValue="/xTq7fosdo50CR1wlVYDgPcaaDwHSKSWP+/2pbunXgANjVTAvuZ2k1DgpJAGMAuZ4RWYMI15qQvaWiFJ/3sJjg==" saltValue="HxRvQErvb4VzEVtTF2Us2g==" spinCount="100000" sheet="1" objects="1" scenarios="1"/>
  <mergeCells count="2">
    <mergeCell ref="B2:H2"/>
    <mergeCell ref="B17:H17"/>
  </mergeCells>
  <pageMargins left="0.7" right="0.7" top="0.75" bottom="0.75" header="0.3" footer="0.3"/>
  <pageSetup scale="65"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48A98-E3BB-4E1A-A104-C9433AF91B24}">
  <dimension ref="B1:P6"/>
  <sheetViews>
    <sheetView workbookViewId="0">
      <selection activeCell="E18" sqref="E18"/>
    </sheetView>
  </sheetViews>
  <sheetFormatPr defaultRowHeight="14.4" x14ac:dyDescent="0.3"/>
  <cols>
    <col min="2" max="2" width="19.109375" style="6" bestFit="1" customWidth="1"/>
    <col min="3" max="3" width="8" style="6" customWidth="1"/>
    <col min="4" max="4" width="8.6640625" style="6"/>
    <col min="5" max="5" width="22.109375" style="6" customWidth="1"/>
    <col min="6" max="16" width="8.6640625" style="6"/>
  </cols>
  <sheetData>
    <row r="1" spans="2:6" ht="15" thickBot="1" x14ac:dyDescent="0.35"/>
    <row r="2" spans="2:6" ht="15" thickBot="1" x14ac:dyDescent="0.35">
      <c r="B2" s="156" t="s">
        <v>68</v>
      </c>
      <c r="C2" s="157"/>
      <c r="E2" s="156" t="s">
        <v>69</v>
      </c>
      <c r="F2" s="157"/>
    </row>
    <row r="3" spans="2:6" x14ac:dyDescent="0.3">
      <c r="B3" s="24" t="s">
        <v>14</v>
      </c>
      <c r="C3" s="16">
        <v>1</v>
      </c>
      <c r="E3" s="30" t="s">
        <v>70</v>
      </c>
      <c r="F3" s="29">
        <v>1</v>
      </c>
    </row>
    <row r="4" spans="2:6" ht="15" thickBot="1" x14ac:dyDescent="0.35">
      <c r="B4" s="19" t="s">
        <v>71</v>
      </c>
      <c r="C4" s="17">
        <v>2</v>
      </c>
      <c r="E4" s="24" t="s">
        <v>72</v>
      </c>
      <c r="F4" s="16">
        <v>2</v>
      </c>
    </row>
    <row r="5" spans="2:6" x14ac:dyDescent="0.3">
      <c r="E5" s="24" t="s">
        <v>73</v>
      </c>
      <c r="F5" s="16">
        <v>3</v>
      </c>
    </row>
    <row r="6" spans="2:6" ht="15" thickBot="1" x14ac:dyDescent="0.35">
      <c r="E6" s="19" t="s">
        <v>17</v>
      </c>
      <c r="F6" s="17">
        <v>4</v>
      </c>
    </row>
  </sheetData>
  <mergeCells count="2">
    <mergeCell ref="E2:F2"/>
    <mergeCell ref="B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EFC18-A33A-4952-BCC8-931BB6CC73EC}">
  <dimension ref="A1:P133"/>
  <sheetViews>
    <sheetView zoomScale="76" workbookViewId="0">
      <selection activeCell="F6" sqref="F6"/>
    </sheetView>
  </sheetViews>
  <sheetFormatPr defaultRowHeight="14.4" x14ac:dyDescent="0.3"/>
  <cols>
    <col min="2" max="2" width="54.6640625" bestFit="1" customWidth="1"/>
    <col min="3" max="3" width="10.88671875" customWidth="1"/>
    <col min="4" max="4" width="13.6640625" bestFit="1" customWidth="1"/>
    <col min="5" max="5" width="14.44140625" bestFit="1" customWidth="1"/>
    <col min="6" max="6" width="12.44140625" customWidth="1"/>
    <col min="7" max="8" width="14.44140625" customWidth="1"/>
    <col min="9" max="9" width="17.33203125" bestFit="1" customWidth="1"/>
    <col min="10" max="10" width="21.109375" bestFit="1" customWidth="1"/>
    <col min="11" max="11" width="17.33203125" style="6" bestFit="1" customWidth="1"/>
    <col min="12" max="12" width="23.109375" style="57" bestFit="1" customWidth="1"/>
    <col min="13" max="13" width="24.6640625" customWidth="1"/>
    <col min="16" max="16" width="28.44140625" style="6" bestFit="1" customWidth="1"/>
  </cols>
  <sheetData>
    <row r="1" spans="1:16" x14ac:dyDescent="0.3">
      <c r="A1" s="6" t="s">
        <v>74</v>
      </c>
      <c r="B1" t="s">
        <v>75</v>
      </c>
      <c r="C1" t="s">
        <v>74</v>
      </c>
      <c r="D1" s="6" t="s">
        <v>76</v>
      </c>
      <c r="E1" s="6" t="s">
        <v>77</v>
      </c>
      <c r="F1" s="6" t="s">
        <v>78</v>
      </c>
      <c r="G1" s="6" t="s">
        <v>44</v>
      </c>
      <c r="H1" s="6" t="s">
        <v>45</v>
      </c>
      <c r="I1" s="6" t="s">
        <v>46</v>
      </c>
      <c r="J1" s="6" t="s">
        <v>47</v>
      </c>
      <c r="K1" s="6" t="s">
        <v>79</v>
      </c>
      <c r="L1" s="6" t="s">
        <v>80</v>
      </c>
      <c r="P1" s="6" t="s">
        <v>81</v>
      </c>
    </row>
    <row r="2" spans="1:16" x14ac:dyDescent="0.3">
      <c r="A2" s="6"/>
      <c r="D2" s="6"/>
      <c r="E2" s="6"/>
      <c r="F2" s="6"/>
      <c r="G2" s="6"/>
      <c r="H2" s="6"/>
      <c r="I2" s="6"/>
      <c r="J2" s="6"/>
    </row>
    <row r="3" spans="1:16" x14ac:dyDescent="0.3">
      <c r="A3" s="6"/>
      <c r="D3" s="6"/>
      <c r="E3" s="6"/>
      <c r="F3" s="6"/>
      <c r="G3" s="6"/>
      <c r="H3" s="6"/>
      <c r="I3" s="6"/>
      <c r="J3" s="6"/>
    </row>
    <row r="4" spans="1:16" x14ac:dyDescent="0.3">
      <c r="A4" s="6">
        <v>0</v>
      </c>
      <c r="B4" t="s">
        <v>82</v>
      </c>
      <c r="C4">
        <f>A4</f>
        <v>0</v>
      </c>
      <c r="D4" s="39"/>
      <c r="E4" s="6"/>
      <c r="F4" s="6"/>
      <c r="G4" s="6"/>
      <c r="H4" s="6"/>
      <c r="I4" s="6"/>
      <c r="J4" s="6"/>
      <c r="L4" s="57" t="s">
        <v>83</v>
      </c>
    </row>
    <row r="5" spans="1:16" x14ac:dyDescent="0.3">
      <c r="A5" s="6"/>
      <c r="D5" s="6"/>
      <c r="E5" s="6"/>
      <c r="F5" s="6"/>
      <c r="G5" s="6"/>
      <c r="H5" s="6"/>
      <c r="I5" s="6"/>
      <c r="J5" s="6"/>
    </row>
    <row r="6" spans="1:16" x14ac:dyDescent="0.3">
      <c r="A6" s="6"/>
      <c r="B6" s="31" t="s">
        <v>84</v>
      </c>
      <c r="D6" s="6"/>
      <c r="E6" s="6"/>
      <c r="F6" s="6"/>
      <c r="G6" s="6"/>
      <c r="H6" s="6"/>
      <c r="I6" s="6"/>
      <c r="J6" s="6"/>
    </row>
    <row r="7" spans="1:16" x14ac:dyDescent="0.3">
      <c r="A7" s="6"/>
      <c r="B7" s="31"/>
      <c r="D7" s="6"/>
      <c r="E7" s="6"/>
      <c r="F7" s="6"/>
      <c r="G7" s="6"/>
      <c r="H7" s="6"/>
      <c r="I7" s="6"/>
      <c r="J7" s="6"/>
    </row>
    <row r="8" spans="1:16" x14ac:dyDescent="0.3">
      <c r="A8" s="6">
        <v>2</v>
      </c>
      <c r="B8" t="s">
        <v>85</v>
      </c>
      <c r="C8">
        <f>A8</f>
        <v>2</v>
      </c>
      <c r="D8" s="6">
        <v>2023</v>
      </c>
      <c r="E8" s="6" t="s">
        <v>4</v>
      </c>
      <c r="F8" s="21">
        <v>500000</v>
      </c>
      <c r="G8" s="47">
        <f t="shared" ref="G8:G26" si="0">F8*0.4</f>
        <v>200000</v>
      </c>
      <c r="H8" s="6">
        <f t="shared" ref="H8:H27" si="1">IF(E8="Power Unit",20,10)</f>
        <v>20</v>
      </c>
      <c r="I8" s="6">
        <v>1</v>
      </c>
      <c r="J8" s="6">
        <v>300</v>
      </c>
      <c r="K8" s="6">
        <v>235</v>
      </c>
      <c r="L8" s="57" t="s">
        <v>86</v>
      </c>
      <c r="P8" s="6" t="s">
        <v>87</v>
      </c>
    </row>
    <row r="9" spans="1:16" x14ac:dyDescent="0.3">
      <c r="A9" s="6">
        <v>3</v>
      </c>
      <c r="B9" t="s">
        <v>88</v>
      </c>
      <c r="C9">
        <f t="shared" ref="C9:C54" si="2">A9</f>
        <v>3</v>
      </c>
      <c r="D9" s="6">
        <v>2008</v>
      </c>
      <c r="E9" s="6" t="s">
        <v>4</v>
      </c>
      <c r="F9" s="21">
        <v>12000</v>
      </c>
      <c r="G9" s="47">
        <f t="shared" si="0"/>
        <v>4800</v>
      </c>
      <c r="H9" s="6">
        <f t="shared" si="1"/>
        <v>20</v>
      </c>
      <c r="I9" s="6">
        <f t="shared" ref="I9:I25" si="3">2023-D9</f>
        <v>15</v>
      </c>
      <c r="J9" s="6">
        <v>300</v>
      </c>
      <c r="K9" s="6">
        <v>330</v>
      </c>
      <c r="L9" s="57" t="s">
        <v>86</v>
      </c>
      <c r="P9" s="6" t="s">
        <v>89</v>
      </c>
    </row>
    <row r="10" spans="1:16" x14ac:dyDescent="0.3">
      <c r="A10" s="6">
        <v>8</v>
      </c>
      <c r="B10" t="s">
        <v>90</v>
      </c>
      <c r="C10">
        <f t="shared" si="2"/>
        <v>8</v>
      </c>
      <c r="D10" s="6">
        <v>2010</v>
      </c>
      <c r="E10" s="6" t="s">
        <v>4</v>
      </c>
      <c r="F10" s="21">
        <v>80000</v>
      </c>
      <c r="G10" s="47">
        <f t="shared" si="0"/>
        <v>32000</v>
      </c>
      <c r="H10" s="6">
        <f t="shared" si="1"/>
        <v>20</v>
      </c>
      <c r="I10" s="6">
        <f t="shared" si="3"/>
        <v>13</v>
      </c>
      <c r="J10" s="6">
        <v>200</v>
      </c>
      <c r="K10" s="6">
        <v>121</v>
      </c>
      <c r="L10" s="57" t="s">
        <v>91</v>
      </c>
      <c r="P10" s="6" t="s">
        <v>92</v>
      </c>
    </row>
    <row r="11" spans="1:16" x14ac:dyDescent="0.3">
      <c r="A11" s="6">
        <v>13</v>
      </c>
      <c r="B11" t="s">
        <v>93</v>
      </c>
      <c r="C11">
        <f t="shared" si="2"/>
        <v>13</v>
      </c>
      <c r="D11" s="6">
        <v>2012</v>
      </c>
      <c r="E11" s="6" t="s">
        <v>4</v>
      </c>
      <c r="F11" s="21">
        <v>5700</v>
      </c>
      <c r="G11" s="47">
        <f t="shared" si="0"/>
        <v>2280</v>
      </c>
      <c r="H11" s="6">
        <f t="shared" si="1"/>
        <v>20</v>
      </c>
      <c r="I11" s="6">
        <f>2023-D11</f>
        <v>11</v>
      </c>
      <c r="J11" s="6">
        <v>150</v>
      </c>
      <c r="K11" s="6">
        <v>250</v>
      </c>
      <c r="L11" s="57" t="s">
        <v>91</v>
      </c>
      <c r="P11" s="6" t="s">
        <v>94</v>
      </c>
    </row>
    <row r="12" spans="1:16" x14ac:dyDescent="0.3">
      <c r="A12" s="6">
        <v>21</v>
      </c>
      <c r="B12" t="s">
        <v>95</v>
      </c>
      <c r="C12">
        <f t="shared" si="2"/>
        <v>21</v>
      </c>
      <c r="D12" s="6">
        <v>2013</v>
      </c>
      <c r="E12" s="6" t="s">
        <v>4</v>
      </c>
      <c r="F12" s="21">
        <v>10000</v>
      </c>
      <c r="G12" s="47">
        <f t="shared" si="0"/>
        <v>4000</v>
      </c>
      <c r="H12" s="6">
        <f t="shared" si="1"/>
        <v>20</v>
      </c>
      <c r="I12" s="6">
        <f t="shared" si="3"/>
        <v>10</v>
      </c>
      <c r="J12" s="6">
        <v>1000</v>
      </c>
      <c r="K12" s="6">
        <v>40</v>
      </c>
      <c r="L12" s="57" t="s">
        <v>96</v>
      </c>
    </row>
    <row r="13" spans="1:16" x14ac:dyDescent="0.3">
      <c r="A13" s="6">
        <v>23</v>
      </c>
      <c r="B13" t="s">
        <v>97</v>
      </c>
      <c r="C13">
        <f t="shared" si="2"/>
        <v>23</v>
      </c>
      <c r="D13" s="6">
        <v>2016</v>
      </c>
      <c r="E13" s="6" t="s">
        <v>4</v>
      </c>
      <c r="F13" s="21">
        <v>5500</v>
      </c>
      <c r="G13" s="47">
        <f t="shared" si="0"/>
        <v>2200</v>
      </c>
      <c r="H13" s="6">
        <f t="shared" si="1"/>
        <v>20</v>
      </c>
      <c r="I13" s="6">
        <f t="shared" si="3"/>
        <v>7</v>
      </c>
      <c r="J13" s="6">
        <v>120</v>
      </c>
      <c r="K13" s="6">
        <v>80</v>
      </c>
      <c r="L13" s="57" t="s">
        <v>98</v>
      </c>
      <c r="P13" s="6" t="s">
        <v>99</v>
      </c>
    </row>
    <row r="14" spans="1:16" x14ac:dyDescent="0.3">
      <c r="A14" s="6">
        <v>24</v>
      </c>
      <c r="B14" t="s">
        <v>100</v>
      </c>
      <c r="C14">
        <f t="shared" si="2"/>
        <v>24</v>
      </c>
      <c r="D14" s="6">
        <v>2016</v>
      </c>
      <c r="E14" s="6" t="s">
        <v>4</v>
      </c>
      <c r="F14" s="21">
        <v>23000</v>
      </c>
      <c r="G14" s="47">
        <f t="shared" si="0"/>
        <v>9200</v>
      </c>
      <c r="H14" s="6">
        <f t="shared" si="1"/>
        <v>20</v>
      </c>
      <c r="I14" s="6">
        <f t="shared" si="3"/>
        <v>7</v>
      </c>
      <c r="J14" s="6">
        <v>300</v>
      </c>
      <c r="K14" s="6">
        <v>195</v>
      </c>
      <c r="L14" s="57" t="s">
        <v>101</v>
      </c>
      <c r="P14" s="6" t="s">
        <v>102</v>
      </c>
    </row>
    <row r="15" spans="1:16" x14ac:dyDescent="0.3">
      <c r="A15" s="6">
        <v>28</v>
      </c>
      <c r="B15" t="s">
        <v>103</v>
      </c>
      <c r="C15">
        <f t="shared" si="2"/>
        <v>28</v>
      </c>
      <c r="D15" s="6">
        <v>2017</v>
      </c>
      <c r="E15" s="6" t="s">
        <v>4</v>
      </c>
      <c r="F15" s="21">
        <v>17750</v>
      </c>
      <c r="G15" s="47">
        <f t="shared" si="0"/>
        <v>7100</v>
      </c>
      <c r="H15" s="6">
        <f t="shared" si="1"/>
        <v>20</v>
      </c>
      <c r="I15" s="6">
        <f t="shared" si="3"/>
        <v>6</v>
      </c>
      <c r="J15" s="6">
        <v>250</v>
      </c>
      <c r="K15" s="6">
        <v>125</v>
      </c>
      <c r="L15" s="57" t="s">
        <v>104</v>
      </c>
      <c r="P15" s="6" t="s">
        <v>105</v>
      </c>
    </row>
    <row r="16" spans="1:16" x14ac:dyDescent="0.3">
      <c r="A16" s="6">
        <v>31</v>
      </c>
      <c r="B16" t="s">
        <v>100</v>
      </c>
      <c r="C16">
        <f t="shared" si="2"/>
        <v>31</v>
      </c>
      <c r="D16" s="6">
        <v>2012</v>
      </c>
      <c r="E16" s="6" t="s">
        <v>4</v>
      </c>
      <c r="F16" s="21">
        <v>14000</v>
      </c>
      <c r="G16" s="47">
        <f t="shared" si="0"/>
        <v>5600</v>
      </c>
      <c r="H16" s="6">
        <f t="shared" si="1"/>
        <v>20</v>
      </c>
      <c r="I16" s="6">
        <f t="shared" si="3"/>
        <v>11</v>
      </c>
      <c r="J16" s="6">
        <v>300</v>
      </c>
      <c r="K16" s="6">
        <v>195</v>
      </c>
      <c r="L16" s="57" t="s">
        <v>101</v>
      </c>
      <c r="P16" s="6" t="s">
        <v>102</v>
      </c>
    </row>
    <row r="17" spans="1:16" x14ac:dyDescent="0.3">
      <c r="A17" s="6">
        <v>34</v>
      </c>
      <c r="B17" t="s">
        <v>35</v>
      </c>
      <c r="C17">
        <f t="shared" si="2"/>
        <v>34</v>
      </c>
      <c r="D17" s="6">
        <v>2017</v>
      </c>
      <c r="E17" s="6" t="s">
        <v>4</v>
      </c>
      <c r="F17" s="21">
        <v>17750</v>
      </c>
      <c r="G17" s="47">
        <f t="shared" si="0"/>
        <v>7100</v>
      </c>
      <c r="H17" s="6">
        <f t="shared" si="1"/>
        <v>20</v>
      </c>
      <c r="I17" s="6">
        <f t="shared" si="3"/>
        <v>6</v>
      </c>
      <c r="J17" s="6">
        <v>400</v>
      </c>
      <c r="K17" s="6">
        <v>320</v>
      </c>
      <c r="L17" s="57" t="s">
        <v>101</v>
      </c>
      <c r="P17" s="6" t="s">
        <v>106</v>
      </c>
    </row>
    <row r="18" spans="1:16" x14ac:dyDescent="0.3">
      <c r="A18" s="6">
        <v>38</v>
      </c>
      <c r="B18" t="s">
        <v>107</v>
      </c>
      <c r="C18">
        <f t="shared" si="2"/>
        <v>38</v>
      </c>
      <c r="D18" s="6">
        <v>2019</v>
      </c>
      <c r="E18" s="6" t="s">
        <v>4</v>
      </c>
      <c r="F18" s="21">
        <v>315000</v>
      </c>
      <c r="G18" s="47">
        <f t="shared" si="0"/>
        <v>126000</v>
      </c>
      <c r="H18" s="6">
        <f t="shared" si="1"/>
        <v>20</v>
      </c>
      <c r="I18" s="6">
        <f t="shared" si="3"/>
        <v>4</v>
      </c>
      <c r="J18" s="6">
        <v>200</v>
      </c>
      <c r="K18" s="6">
        <v>245</v>
      </c>
      <c r="L18" s="57" t="s">
        <v>101</v>
      </c>
      <c r="P18" s="6" t="s">
        <v>108</v>
      </c>
    </row>
    <row r="19" spans="1:16" x14ac:dyDescent="0.3">
      <c r="A19" s="6">
        <v>40</v>
      </c>
      <c r="B19" t="s">
        <v>109</v>
      </c>
      <c r="C19">
        <f t="shared" si="2"/>
        <v>40</v>
      </c>
      <c r="D19" s="6">
        <v>2020</v>
      </c>
      <c r="E19" s="6" t="s">
        <v>4</v>
      </c>
      <c r="F19" s="21">
        <v>261712.39</v>
      </c>
      <c r="G19" s="47">
        <f t="shared" si="0"/>
        <v>104684.95600000001</v>
      </c>
      <c r="H19" s="6">
        <f t="shared" si="1"/>
        <v>20</v>
      </c>
      <c r="I19" s="6">
        <f t="shared" si="3"/>
        <v>3</v>
      </c>
      <c r="J19" s="6">
        <v>450</v>
      </c>
      <c r="K19" s="6">
        <v>275</v>
      </c>
      <c r="L19" s="57" t="s">
        <v>101</v>
      </c>
      <c r="P19" s="6" t="s">
        <v>110</v>
      </c>
    </row>
    <row r="20" spans="1:16" x14ac:dyDescent="0.3">
      <c r="A20" s="6">
        <v>44</v>
      </c>
      <c r="B20" t="s">
        <v>111</v>
      </c>
      <c r="C20">
        <f t="shared" si="2"/>
        <v>44</v>
      </c>
      <c r="D20" s="6">
        <v>2020</v>
      </c>
      <c r="E20" s="6" t="s">
        <v>4</v>
      </c>
      <c r="F20" s="21">
        <v>100000</v>
      </c>
      <c r="G20" s="47">
        <f t="shared" si="0"/>
        <v>40000</v>
      </c>
      <c r="H20" s="6">
        <f t="shared" si="1"/>
        <v>20</v>
      </c>
      <c r="I20" s="6">
        <f t="shared" si="3"/>
        <v>3</v>
      </c>
      <c r="J20" s="6">
        <v>150</v>
      </c>
      <c r="K20" s="6">
        <v>120</v>
      </c>
      <c r="L20" s="57" t="s">
        <v>112</v>
      </c>
      <c r="P20" s="6" t="s">
        <v>113</v>
      </c>
    </row>
    <row r="21" spans="1:16" x14ac:dyDescent="0.3">
      <c r="A21" s="6">
        <v>45</v>
      </c>
      <c r="B21" t="s">
        <v>114</v>
      </c>
      <c r="C21">
        <f t="shared" si="2"/>
        <v>45</v>
      </c>
      <c r="D21" s="6">
        <v>2021</v>
      </c>
      <c r="E21" s="6" t="s">
        <v>4</v>
      </c>
      <c r="F21" s="21">
        <v>16000</v>
      </c>
      <c r="G21" s="47">
        <f t="shared" si="0"/>
        <v>6400</v>
      </c>
      <c r="H21" s="6">
        <f t="shared" si="1"/>
        <v>20</v>
      </c>
      <c r="I21" s="6">
        <f t="shared" si="3"/>
        <v>2</v>
      </c>
      <c r="J21" s="6">
        <v>800</v>
      </c>
      <c r="K21" s="6">
        <v>22</v>
      </c>
      <c r="L21" s="57" t="s">
        <v>98</v>
      </c>
      <c r="P21" s="6" t="s">
        <v>115</v>
      </c>
    </row>
    <row r="22" spans="1:16" x14ac:dyDescent="0.3">
      <c r="A22" s="6">
        <v>48</v>
      </c>
      <c r="B22" t="s">
        <v>116</v>
      </c>
      <c r="C22">
        <f t="shared" si="2"/>
        <v>48</v>
      </c>
      <c r="D22" s="6">
        <v>2021</v>
      </c>
      <c r="E22" s="6" t="s">
        <v>4</v>
      </c>
      <c r="F22" s="21">
        <v>77460</v>
      </c>
      <c r="G22" s="47">
        <f t="shared" si="0"/>
        <v>30984</v>
      </c>
      <c r="H22" s="6">
        <f t="shared" si="1"/>
        <v>20</v>
      </c>
      <c r="I22" s="6">
        <f t="shared" si="3"/>
        <v>2</v>
      </c>
      <c r="J22" s="6">
        <v>200</v>
      </c>
      <c r="K22" s="6">
        <v>345</v>
      </c>
      <c r="L22" s="57" t="s">
        <v>101</v>
      </c>
      <c r="P22" s="6" t="s">
        <v>117</v>
      </c>
    </row>
    <row r="23" spans="1:16" x14ac:dyDescent="0.3">
      <c r="A23" s="6">
        <v>53</v>
      </c>
      <c r="B23" t="s">
        <v>118</v>
      </c>
      <c r="C23">
        <f t="shared" si="2"/>
        <v>53</v>
      </c>
      <c r="D23" s="6">
        <v>2021</v>
      </c>
      <c r="E23" s="6" t="s">
        <v>4</v>
      </c>
      <c r="F23" s="21">
        <v>3500</v>
      </c>
      <c r="G23" s="47">
        <f t="shared" si="0"/>
        <v>1400</v>
      </c>
      <c r="H23" s="6">
        <f t="shared" si="1"/>
        <v>20</v>
      </c>
      <c r="I23" s="6">
        <f t="shared" si="3"/>
        <v>2</v>
      </c>
      <c r="J23" s="6">
        <v>400</v>
      </c>
      <c r="K23" s="6">
        <v>54</v>
      </c>
      <c r="L23" s="57" t="s">
        <v>104</v>
      </c>
      <c r="P23" s="6" t="s">
        <v>119</v>
      </c>
    </row>
    <row r="24" spans="1:16" x14ac:dyDescent="0.3">
      <c r="A24" s="6">
        <v>57</v>
      </c>
      <c r="B24" t="s">
        <v>120</v>
      </c>
      <c r="C24">
        <f t="shared" si="2"/>
        <v>57</v>
      </c>
      <c r="D24" s="6">
        <v>2017</v>
      </c>
      <c r="E24" s="6" t="s">
        <v>4</v>
      </c>
      <c r="F24" s="21">
        <v>5000</v>
      </c>
      <c r="G24" s="47">
        <f t="shared" si="0"/>
        <v>2000</v>
      </c>
      <c r="H24" s="6">
        <f t="shared" si="1"/>
        <v>20</v>
      </c>
      <c r="I24" s="6">
        <f t="shared" si="3"/>
        <v>6</v>
      </c>
      <c r="J24" s="6">
        <v>400</v>
      </c>
      <c r="K24" s="6">
        <v>52</v>
      </c>
      <c r="L24" s="57" t="s">
        <v>104</v>
      </c>
      <c r="P24" s="6" t="s">
        <v>121</v>
      </c>
    </row>
    <row r="25" spans="1:16" x14ac:dyDescent="0.3">
      <c r="A25" s="6">
        <v>58</v>
      </c>
      <c r="B25" t="s">
        <v>122</v>
      </c>
      <c r="C25">
        <f t="shared" si="2"/>
        <v>58</v>
      </c>
      <c r="D25" s="6">
        <v>2018</v>
      </c>
      <c r="E25" s="6" t="s">
        <v>4</v>
      </c>
      <c r="F25" s="21">
        <v>5500</v>
      </c>
      <c r="G25" s="47">
        <f t="shared" si="0"/>
        <v>2200</v>
      </c>
      <c r="H25" s="6">
        <f t="shared" si="1"/>
        <v>20</v>
      </c>
      <c r="I25" s="6">
        <f t="shared" si="3"/>
        <v>5</v>
      </c>
      <c r="J25" s="6">
        <v>100</v>
      </c>
      <c r="K25" s="6">
        <v>75</v>
      </c>
      <c r="L25" s="57" t="s">
        <v>104</v>
      </c>
      <c r="P25" s="6" t="s">
        <v>123</v>
      </c>
    </row>
    <row r="26" spans="1:16" x14ac:dyDescent="0.3">
      <c r="A26" s="6">
        <v>59</v>
      </c>
      <c r="B26" t="s">
        <v>124</v>
      </c>
      <c r="C26">
        <f t="shared" si="2"/>
        <v>59</v>
      </c>
      <c r="D26" s="6">
        <v>2008</v>
      </c>
      <c r="E26" s="6" t="s">
        <v>4</v>
      </c>
      <c r="F26" s="21">
        <v>41340</v>
      </c>
      <c r="G26" s="47">
        <f t="shared" si="0"/>
        <v>16536</v>
      </c>
      <c r="H26" s="6">
        <f t="shared" si="1"/>
        <v>20</v>
      </c>
      <c r="I26" s="6">
        <f t="shared" ref="I26:I54" si="4">2023-D26</f>
        <v>15</v>
      </c>
      <c r="J26" s="6">
        <v>150</v>
      </c>
      <c r="K26" s="6">
        <v>199</v>
      </c>
      <c r="L26" s="57" t="s">
        <v>91</v>
      </c>
      <c r="P26" s="6" t="s">
        <v>125</v>
      </c>
    </row>
    <row r="27" spans="1:16" x14ac:dyDescent="0.3">
      <c r="A27" s="6">
        <v>60</v>
      </c>
      <c r="B27" t="s">
        <v>126</v>
      </c>
      <c r="C27">
        <f t="shared" si="2"/>
        <v>60</v>
      </c>
      <c r="D27" s="6">
        <v>2020</v>
      </c>
      <c r="E27" s="6" t="s">
        <v>4</v>
      </c>
      <c r="F27" s="21">
        <v>9000</v>
      </c>
      <c r="G27" s="47">
        <f t="shared" ref="G27:G54" si="5">F27*0.4</f>
        <v>3600</v>
      </c>
      <c r="H27" s="6">
        <f t="shared" si="1"/>
        <v>20</v>
      </c>
      <c r="I27" s="6">
        <f t="shared" si="4"/>
        <v>3</v>
      </c>
      <c r="J27" s="6">
        <v>2500</v>
      </c>
      <c r="K27" s="6">
        <v>250</v>
      </c>
      <c r="L27" s="57" t="s">
        <v>127</v>
      </c>
      <c r="P27" s="6" t="s">
        <v>128</v>
      </c>
    </row>
    <row r="28" spans="1:16" x14ac:dyDescent="0.3">
      <c r="A28" s="6">
        <v>61</v>
      </c>
      <c r="B28" t="s">
        <v>129</v>
      </c>
      <c r="C28">
        <f t="shared" si="2"/>
        <v>61</v>
      </c>
      <c r="D28" s="6">
        <v>2020</v>
      </c>
      <c r="E28" s="6" t="s">
        <v>4</v>
      </c>
      <c r="F28" s="21">
        <v>12489</v>
      </c>
      <c r="G28" s="47">
        <f t="shared" si="5"/>
        <v>4995.6000000000004</v>
      </c>
      <c r="H28" s="6">
        <f t="shared" ref="H28:H54" si="6">IF(E29="Power Unit",20,10)</f>
        <v>20</v>
      </c>
      <c r="I28" s="6">
        <f t="shared" si="4"/>
        <v>3</v>
      </c>
      <c r="J28" s="6">
        <v>1000</v>
      </c>
      <c r="K28" s="6">
        <v>60</v>
      </c>
      <c r="L28" s="57" t="s">
        <v>96</v>
      </c>
    </row>
    <row r="29" spans="1:16" x14ac:dyDescent="0.3">
      <c r="A29" s="6">
        <v>62</v>
      </c>
      <c r="B29" t="s">
        <v>130</v>
      </c>
      <c r="C29">
        <f t="shared" si="2"/>
        <v>62</v>
      </c>
      <c r="D29" s="6">
        <v>2001</v>
      </c>
      <c r="E29" s="6" t="s">
        <v>4</v>
      </c>
      <c r="F29" s="21">
        <v>33100</v>
      </c>
      <c r="G29" s="47">
        <f t="shared" si="5"/>
        <v>13240</v>
      </c>
      <c r="H29" s="6">
        <f t="shared" si="6"/>
        <v>20</v>
      </c>
      <c r="I29" s="6">
        <f t="shared" si="4"/>
        <v>22</v>
      </c>
      <c r="J29" s="6">
        <v>300</v>
      </c>
      <c r="K29" s="6">
        <v>96</v>
      </c>
      <c r="L29" s="57" t="s">
        <v>91</v>
      </c>
      <c r="P29" s="6" t="s">
        <v>131</v>
      </c>
    </row>
    <row r="30" spans="1:16" x14ac:dyDescent="0.3">
      <c r="A30" s="6">
        <v>63</v>
      </c>
      <c r="B30" t="s">
        <v>132</v>
      </c>
      <c r="C30">
        <f t="shared" si="2"/>
        <v>63</v>
      </c>
      <c r="D30" s="6">
        <v>2013</v>
      </c>
      <c r="E30" s="6" t="s">
        <v>4</v>
      </c>
      <c r="F30" s="21">
        <v>900</v>
      </c>
      <c r="G30" s="47">
        <f t="shared" si="5"/>
        <v>360</v>
      </c>
      <c r="H30" s="6">
        <f t="shared" si="6"/>
        <v>20</v>
      </c>
      <c r="I30" s="6">
        <f t="shared" si="4"/>
        <v>10</v>
      </c>
      <c r="J30" s="6">
        <v>500</v>
      </c>
      <c r="K30" s="6">
        <v>5</v>
      </c>
      <c r="L30" s="57" t="s">
        <v>96</v>
      </c>
    </row>
    <row r="31" spans="1:16" x14ac:dyDescent="0.3">
      <c r="A31" s="6">
        <v>67</v>
      </c>
      <c r="B31" t="s">
        <v>133</v>
      </c>
      <c r="C31">
        <f t="shared" si="2"/>
        <v>67</v>
      </c>
      <c r="D31" s="6">
        <v>2014</v>
      </c>
      <c r="E31" s="6" t="s">
        <v>4</v>
      </c>
      <c r="F31" s="21">
        <v>40000</v>
      </c>
      <c r="G31" s="47">
        <f t="shared" si="5"/>
        <v>16000</v>
      </c>
      <c r="H31" s="6">
        <f t="shared" si="6"/>
        <v>20</v>
      </c>
      <c r="I31" s="6">
        <f t="shared" si="4"/>
        <v>9</v>
      </c>
      <c r="J31" s="6">
        <v>1200</v>
      </c>
      <c r="K31" s="6">
        <v>170</v>
      </c>
      <c r="L31" s="57" t="s">
        <v>101</v>
      </c>
      <c r="P31" s="6" t="s">
        <v>134</v>
      </c>
    </row>
    <row r="32" spans="1:16" x14ac:dyDescent="0.3">
      <c r="A32" s="6">
        <v>68</v>
      </c>
      <c r="B32" t="s">
        <v>135</v>
      </c>
      <c r="C32">
        <f t="shared" si="2"/>
        <v>68</v>
      </c>
      <c r="D32" s="6">
        <v>2014</v>
      </c>
      <c r="E32" s="6" t="s">
        <v>4</v>
      </c>
      <c r="F32" s="21">
        <v>4500</v>
      </c>
      <c r="G32" s="47">
        <f t="shared" si="5"/>
        <v>1800</v>
      </c>
      <c r="H32" s="6">
        <f t="shared" si="6"/>
        <v>20</v>
      </c>
      <c r="I32" s="6">
        <f t="shared" si="4"/>
        <v>9</v>
      </c>
      <c r="J32" s="6">
        <v>1300</v>
      </c>
      <c r="K32" s="6">
        <v>89</v>
      </c>
      <c r="L32" s="57" t="s">
        <v>104</v>
      </c>
      <c r="P32" s="6" t="s">
        <v>136</v>
      </c>
    </row>
    <row r="33" spans="1:16" x14ac:dyDescent="0.3">
      <c r="A33" s="6">
        <v>69</v>
      </c>
      <c r="B33" t="s">
        <v>137</v>
      </c>
      <c r="C33">
        <f t="shared" si="2"/>
        <v>69</v>
      </c>
      <c r="D33" s="6">
        <v>2014</v>
      </c>
      <c r="E33" s="6" t="s">
        <v>4</v>
      </c>
      <c r="F33" s="21">
        <v>7000</v>
      </c>
      <c r="G33" s="47">
        <f t="shared" si="5"/>
        <v>2800</v>
      </c>
      <c r="H33" s="6">
        <f t="shared" si="6"/>
        <v>20</v>
      </c>
      <c r="I33" s="6">
        <f t="shared" si="4"/>
        <v>9</v>
      </c>
      <c r="J33" s="6">
        <v>100</v>
      </c>
      <c r="K33" s="6">
        <v>120</v>
      </c>
      <c r="L33" s="57" t="s">
        <v>112</v>
      </c>
      <c r="P33" s="6" t="s">
        <v>113</v>
      </c>
    </row>
    <row r="34" spans="1:16" x14ac:dyDescent="0.3">
      <c r="A34" s="6">
        <v>70</v>
      </c>
      <c r="B34" t="s">
        <v>138</v>
      </c>
      <c r="C34">
        <f t="shared" si="2"/>
        <v>70</v>
      </c>
      <c r="D34" s="6">
        <v>2023</v>
      </c>
      <c r="E34" s="6" t="s">
        <v>4</v>
      </c>
      <c r="F34" s="21">
        <v>25500</v>
      </c>
      <c r="G34" s="47">
        <f t="shared" si="5"/>
        <v>10200</v>
      </c>
      <c r="H34" s="6">
        <f t="shared" si="6"/>
        <v>20</v>
      </c>
      <c r="I34" s="6">
        <f t="shared" si="4"/>
        <v>0</v>
      </c>
      <c r="J34" s="6">
        <v>300</v>
      </c>
      <c r="K34" s="6">
        <v>150</v>
      </c>
      <c r="L34" s="57" t="s">
        <v>112</v>
      </c>
      <c r="P34" s="6" t="s">
        <v>139</v>
      </c>
    </row>
    <row r="35" spans="1:16" x14ac:dyDescent="0.3">
      <c r="A35" s="6">
        <v>71</v>
      </c>
      <c r="B35" t="s">
        <v>140</v>
      </c>
      <c r="C35">
        <f t="shared" si="2"/>
        <v>71</v>
      </c>
      <c r="D35" s="6">
        <v>2014</v>
      </c>
      <c r="E35" s="6" t="s">
        <v>4</v>
      </c>
      <c r="F35" s="21">
        <v>2500</v>
      </c>
      <c r="G35" s="47">
        <f t="shared" si="5"/>
        <v>1000</v>
      </c>
      <c r="H35" s="6">
        <f t="shared" si="6"/>
        <v>20</v>
      </c>
      <c r="I35" s="6">
        <f t="shared" si="4"/>
        <v>9</v>
      </c>
      <c r="J35" s="6">
        <v>90</v>
      </c>
      <c r="K35" s="6">
        <v>20</v>
      </c>
      <c r="L35" s="57" t="s">
        <v>104</v>
      </c>
      <c r="P35" s="6" t="s">
        <v>141</v>
      </c>
    </row>
    <row r="36" spans="1:16" x14ac:dyDescent="0.3">
      <c r="A36" s="6">
        <v>72</v>
      </c>
      <c r="B36" t="s">
        <v>142</v>
      </c>
      <c r="C36">
        <f t="shared" si="2"/>
        <v>72</v>
      </c>
      <c r="D36" s="6">
        <v>2014</v>
      </c>
      <c r="E36" s="6" t="s">
        <v>4</v>
      </c>
      <c r="F36" s="21">
        <v>2500</v>
      </c>
      <c r="G36" s="47">
        <f t="shared" si="5"/>
        <v>1000</v>
      </c>
      <c r="H36" s="6">
        <f t="shared" si="6"/>
        <v>20</v>
      </c>
      <c r="I36" s="6">
        <f t="shared" si="4"/>
        <v>9</v>
      </c>
      <c r="J36" s="6">
        <v>120</v>
      </c>
      <c r="K36" s="6">
        <v>57</v>
      </c>
      <c r="L36" s="57" t="s">
        <v>104</v>
      </c>
      <c r="P36" s="6" t="s">
        <v>143</v>
      </c>
    </row>
    <row r="37" spans="1:16" x14ac:dyDescent="0.3">
      <c r="A37" s="6">
        <v>73</v>
      </c>
      <c r="B37" t="s">
        <v>144</v>
      </c>
      <c r="C37">
        <f t="shared" si="2"/>
        <v>73</v>
      </c>
      <c r="D37" s="6">
        <v>2014</v>
      </c>
      <c r="E37" s="6" t="s">
        <v>4</v>
      </c>
      <c r="F37" s="21">
        <v>500</v>
      </c>
      <c r="G37" s="47">
        <f t="shared" si="5"/>
        <v>200</v>
      </c>
      <c r="H37" s="6">
        <f t="shared" si="6"/>
        <v>20</v>
      </c>
      <c r="I37" s="6">
        <f t="shared" si="4"/>
        <v>9</v>
      </c>
      <c r="J37" s="6">
        <v>70</v>
      </c>
      <c r="K37" s="6">
        <v>44</v>
      </c>
      <c r="L37" s="57" t="s">
        <v>104</v>
      </c>
      <c r="P37" s="6" t="s">
        <v>145</v>
      </c>
    </row>
    <row r="38" spans="1:16" x14ac:dyDescent="0.3">
      <c r="A38" s="6">
        <v>74</v>
      </c>
      <c r="B38" t="s">
        <v>146</v>
      </c>
      <c r="C38">
        <f t="shared" si="2"/>
        <v>74</v>
      </c>
      <c r="D38" s="6">
        <v>2014</v>
      </c>
      <c r="E38" s="6" t="s">
        <v>4</v>
      </c>
      <c r="F38" s="21">
        <v>2500</v>
      </c>
      <c r="G38" s="47">
        <f t="shared" si="5"/>
        <v>1000</v>
      </c>
      <c r="H38" s="6">
        <f t="shared" si="6"/>
        <v>20</v>
      </c>
      <c r="I38" s="6">
        <f t="shared" si="4"/>
        <v>9</v>
      </c>
      <c r="J38" s="6">
        <v>1500</v>
      </c>
      <c r="K38" s="6">
        <v>200</v>
      </c>
      <c r="L38" s="57" t="s">
        <v>127</v>
      </c>
      <c r="P38" s="6" t="s">
        <v>147</v>
      </c>
    </row>
    <row r="39" spans="1:16" x14ac:dyDescent="0.3">
      <c r="A39" s="6">
        <v>75</v>
      </c>
      <c r="B39" t="s">
        <v>148</v>
      </c>
      <c r="C39">
        <f t="shared" si="2"/>
        <v>75</v>
      </c>
      <c r="D39" s="6">
        <v>2014</v>
      </c>
      <c r="E39" s="6" t="s">
        <v>4</v>
      </c>
      <c r="F39" s="21">
        <v>10000</v>
      </c>
      <c r="G39" s="47">
        <f t="shared" si="5"/>
        <v>4000</v>
      </c>
      <c r="H39" s="6">
        <f t="shared" si="6"/>
        <v>20</v>
      </c>
      <c r="I39" s="6">
        <f t="shared" si="4"/>
        <v>9</v>
      </c>
      <c r="J39" s="6">
        <v>20</v>
      </c>
      <c r="K39" s="6">
        <v>72</v>
      </c>
      <c r="L39" s="57" t="s">
        <v>91</v>
      </c>
      <c r="P39" s="6" t="s">
        <v>149</v>
      </c>
    </row>
    <row r="40" spans="1:16" x14ac:dyDescent="0.3">
      <c r="A40" s="6">
        <v>79</v>
      </c>
      <c r="B40" t="s">
        <v>150</v>
      </c>
      <c r="C40">
        <f t="shared" si="2"/>
        <v>79</v>
      </c>
      <c r="D40" s="6">
        <v>2020</v>
      </c>
      <c r="E40" s="6" t="s">
        <v>4</v>
      </c>
      <c r="F40" s="21">
        <v>500</v>
      </c>
      <c r="G40" s="47">
        <f t="shared" si="5"/>
        <v>200</v>
      </c>
      <c r="H40" s="6">
        <f t="shared" si="6"/>
        <v>20</v>
      </c>
      <c r="I40" s="6">
        <f t="shared" si="4"/>
        <v>3</v>
      </c>
      <c r="J40" s="6">
        <v>70</v>
      </c>
      <c r="K40" s="6">
        <v>158</v>
      </c>
      <c r="L40" s="57" t="s">
        <v>86</v>
      </c>
      <c r="P40" s="6" t="s">
        <v>151</v>
      </c>
    </row>
    <row r="41" spans="1:16" x14ac:dyDescent="0.3">
      <c r="A41" s="6">
        <v>88</v>
      </c>
      <c r="B41" t="s">
        <v>152</v>
      </c>
      <c r="C41">
        <f t="shared" si="2"/>
        <v>88</v>
      </c>
      <c r="D41" s="6">
        <v>2014</v>
      </c>
      <c r="E41" s="6" t="s">
        <v>4</v>
      </c>
      <c r="F41" s="21">
        <v>1000</v>
      </c>
      <c r="G41" s="47">
        <f t="shared" si="5"/>
        <v>400</v>
      </c>
      <c r="H41" s="6">
        <f t="shared" si="6"/>
        <v>20</v>
      </c>
      <c r="I41" s="6">
        <f t="shared" si="4"/>
        <v>9</v>
      </c>
      <c r="J41" s="6">
        <v>20</v>
      </c>
      <c r="K41" s="6">
        <v>54</v>
      </c>
      <c r="L41" s="57" t="s">
        <v>104</v>
      </c>
      <c r="P41" s="6" t="s">
        <v>153</v>
      </c>
    </row>
    <row r="42" spans="1:16" x14ac:dyDescent="0.3">
      <c r="A42" s="6">
        <v>89</v>
      </c>
      <c r="B42" t="s">
        <v>154</v>
      </c>
      <c r="C42">
        <f t="shared" si="2"/>
        <v>89</v>
      </c>
      <c r="D42" s="6">
        <v>2014</v>
      </c>
      <c r="E42" s="6" t="s">
        <v>4</v>
      </c>
      <c r="F42" s="21">
        <v>1500</v>
      </c>
      <c r="G42" s="47">
        <f t="shared" si="5"/>
        <v>600</v>
      </c>
      <c r="H42" s="6">
        <f t="shared" si="6"/>
        <v>20</v>
      </c>
      <c r="I42" s="6">
        <f t="shared" si="4"/>
        <v>9</v>
      </c>
      <c r="J42" s="6">
        <v>400</v>
      </c>
      <c r="K42" s="6">
        <v>10</v>
      </c>
      <c r="L42" s="57" t="s">
        <v>104</v>
      </c>
      <c r="P42" s="6" t="s">
        <v>155</v>
      </c>
    </row>
    <row r="43" spans="1:16" x14ac:dyDescent="0.3">
      <c r="A43" s="6">
        <v>97</v>
      </c>
      <c r="B43" t="s">
        <v>156</v>
      </c>
      <c r="C43">
        <f t="shared" si="2"/>
        <v>97</v>
      </c>
      <c r="D43" s="6">
        <v>2013</v>
      </c>
      <c r="E43" s="6" t="s">
        <v>4</v>
      </c>
      <c r="F43" s="21">
        <v>800</v>
      </c>
      <c r="G43" s="47">
        <f t="shared" si="5"/>
        <v>320</v>
      </c>
      <c r="H43" s="6">
        <f t="shared" si="6"/>
        <v>20</v>
      </c>
      <c r="I43" s="6">
        <f t="shared" si="4"/>
        <v>10</v>
      </c>
      <c r="J43" s="6">
        <v>700</v>
      </c>
      <c r="K43" s="6">
        <v>5</v>
      </c>
      <c r="L43" s="57" t="s">
        <v>96</v>
      </c>
    </row>
    <row r="44" spans="1:16" x14ac:dyDescent="0.3">
      <c r="A44" s="6">
        <v>98</v>
      </c>
      <c r="B44" t="s">
        <v>157</v>
      </c>
      <c r="C44">
        <f t="shared" si="2"/>
        <v>98</v>
      </c>
      <c r="D44" s="6">
        <v>2021</v>
      </c>
      <c r="E44" s="6" t="s">
        <v>4</v>
      </c>
      <c r="F44" s="21">
        <v>79000</v>
      </c>
      <c r="G44" s="47">
        <f t="shared" si="5"/>
        <v>31600</v>
      </c>
      <c r="H44" s="6">
        <f t="shared" si="6"/>
        <v>20</v>
      </c>
      <c r="I44" s="6">
        <f t="shared" si="4"/>
        <v>2</v>
      </c>
      <c r="J44" s="6">
        <v>700</v>
      </c>
      <c r="K44" s="6">
        <v>225</v>
      </c>
      <c r="L44" s="57" t="s">
        <v>98</v>
      </c>
      <c r="P44" s="6" t="s">
        <v>115</v>
      </c>
    </row>
    <row r="45" spans="1:16" x14ac:dyDescent="0.3">
      <c r="A45" s="6">
        <v>105</v>
      </c>
      <c r="B45" t="s">
        <v>158</v>
      </c>
      <c r="C45">
        <f t="shared" si="2"/>
        <v>105</v>
      </c>
      <c r="D45" s="6">
        <v>2023</v>
      </c>
      <c r="E45" s="6" t="s">
        <v>4</v>
      </c>
      <c r="F45" s="21">
        <v>3000</v>
      </c>
      <c r="G45" s="47">
        <f t="shared" si="5"/>
        <v>1200</v>
      </c>
      <c r="H45" s="6">
        <f t="shared" si="6"/>
        <v>20</v>
      </c>
      <c r="I45" s="6">
        <f t="shared" si="4"/>
        <v>0</v>
      </c>
      <c r="J45" s="6">
        <v>800</v>
      </c>
      <c r="K45" s="6">
        <v>250</v>
      </c>
      <c r="L45" s="57" t="s">
        <v>127</v>
      </c>
      <c r="P45" s="6" t="s">
        <v>159</v>
      </c>
    </row>
    <row r="46" spans="1:16" x14ac:dyDescent="0.3">
      <c r="A46" s="6">
        <v>114</v>
      </c>
      <c r="B46" t="s">
        <v>160</v>
      </c>
      <c r="C46">
        <f t="shared" si="2"/>
        <v>114</v>
      </c>
      <c r="D46" s="6">
        <v>2013</v>
      </c>
      <c r="E46" s="6" t="s">
        <v>4</v>
      </c>
      <c r="F46" s="21">
        <v>22000</v>
      </c>
      <c r="G46" s="47">
        <f t="shared" si="5"/>
        <v>8800</v>
      </c>
      <c r="H46" s="6">
        <f t="shared" si="6"/>
        <v>20</v>
      </c>
      <c r="I46" s="6">
        <f t="shared" si="4"/>
        <v>10</v>
      </c>
      <c r="J46" s="6">
        <v>2500</v>
      </c>
      <c r="K46" s="6">
        <v>500</v>
      </c>
      <c r="L46" s="57" t="s">
        <v>127</v>
      </c>
      <c r="P46" s="6" t="s">
        <v>161</v>
      </c>
    </row>
    <row r="47" spans="1:16" x14ac:dyDescent="0.3">
      <c r="A47" s="6">
        <v>115</v>
      </c>
      <c r="B47" t="s">
        <v>162</v>
      </c>
      <c r="C47">
        <f t="shared" si="2"/>
        <v>115</v>
      </c>
      <c r="D47" s="6">
        <v>2017</v>
      </c>
      <c r="E47" s="6" t="s">
        <v>4</v>
      </c>
      <c r="F47" s="21">
        <v>18500</v>
      </c>
      <c r="G47" s="47">
        <f t="shared" si="5"/>
        <v>7400</v>
      </c>
      <c r="H47" s="6">
        <f t="shared" si="6"/>
        <v>20</v>
      </c>
      <c r="I47" s="6">
        <f t="shared" si="4"/>
        <v>6</v>
      </c>
      <c r="J47" s="6">
        <v>2500</v>
      </c>
      <c r="K47" s="6">
        <v>500</v>
      </c>
      <c r="L47" s="57" t="s">
        <v>127</v>
      </c>
      <c r="P47" s="6" t="s">
        <v>161</v>
      </c>
    </row>
    <row r="48" spans="1:16" x14ac:dyDescent="0.3">
      <c r="A48" s="6">
        <v>116</v>
      </c>
      <c r="B48" t="s">
        <v>163</v>
      </c>
      <c r="C48">
        <f t="shared" si="2"/>
        <v>116</v>
      </c>
      <c r="D48" s="6">
        <v>2017</v>
      </c>
      <c r="E48" s="6" t="s">
        <v>4</v>
      </c>
      <c r="F48" s="21">
        <v>18500</v>
      </c>
      <c r="G48" s="47">
        <f t="shared" si="5"/>
        <v>7400</v>
      </c>
      <c r="H48" s="6">
        <f t="shared" si="6"/>
        <v>20</v>
      </c>
      <c r="I48" s="6">
        <f t="shared" si="4"/>
        <v>6</v>
      </c>
      <c r="J48" s="6">
        <v>2500</v>
      </c>
      <c r="K48" s="6">
        <v>550</v>
      </c>
      <c r="L48" s="57" t="s">
        <v>127</v>
      </c>
      <c r="P48" s="6" t="s">
        <v>164</v>
      </c>
    </row>
    <row r="49" spans="1:16" x14ac:dyDescent="0.3">
      <c r="A49" s="6">
        <v>117</v>
      </c>
      <c r="B49" t="s">
        <v>162</v>
      </c>
      <c r="C49">
        <f t="shared" si="2"/>
        <v>117</v>
      </c>
      <c r="D49" s="6">
        <v>2018</v>
      </c>
      <c r="E49" s="6" t="s">
        <v>4</v>
      </c>
      <c r="F49" s="21">
        <v>16500</v>
      </c>
      <c r="G49" s="47">
        <f t="shared" si="5"/>
        <v>6600</v>
      </c>
      <c r="H49" s="6">
        <f t="shared" si="6"/>
        <v>20</v>
      </c>
      <c r="I49" s="6">
        <f t="shared" si="4"/>
        <v>5</v>
      </c>
      <c r="J49" s="6">
        <v>2500</v>
      </c>
      <c r="K49" s="6">
        <v>500</v>
      </c>
      <c r="L49" s="57" t="s">
        <v>127</v>
      </c>
      <c r="P49" s="6" t="s">
        <v>161</v>
      </c>
    </row>
    <row r="50" spans="1:16" x14ac:dyDescent="0.3">
      <c r="A50" s="6">
        <v>118</v>
      </c>
      <c r="B50" t="s">
        <v>165</v>
      </c>
      <c r="C50">
        <f t="shared" si="2"/>
        <v>118</v>
      </c>
      <c r="D50" s="6">
        <v>2019</v>
      </c>
      <c r="E50" s="6" t="s">
        <v>4</v>
      </c>
      <c r="F50" s="21">
        <v>17000</v>
      </c>
      <c r="G50" s="47">
        <f t="shared" si="5"/>
        <v>6800</v>
      </c>
      <c r="H50" s="6">
        <f t="shared" si="6"/>
        <v>20</v>
      </c>
      <c r="I50" s="6">
        <f t="shared" si="4"/>
        <v>4</v>
      </c>
      <c r="J50" s="6">
        <v>2500</v>
      </c>
      <c r="K50" s="6">
        <v>500</v>
      </c>
      <c r="L50" s="57" t="s">
        <v>127</v>
      </c>
      <c r="P50" s="6" t="s">
        <v>161</v>
      </c>
    </row>
    <row r="51" spans="1:16" x14ac:dyDescent="0.3">
      <c r="A51" s="6">
        <v>119</v>
      </c>
      <c r="B51" t="s">
        <v>166</v>
      </c>
      <c r="C51">
        <f t="shared" si="2"/>
        <v>119</v>
      </c>
      <c r="D51" s="6">
        <v>2019</v>
      </c>
      <c r="E51" s="6" t="s">
        <v>4</v>
      </c>
      <c r="F51" s="21">
        <v>18000</v>
      </c>
      <c r="G51" s="47">
        <f t="shared" si="5"/>
        <v>7200</v>
      </c>
      <c r="H51" s="6">
        <f t="shared" si="6"/>
        <v>20</v>
      </c>
      <c r="I51" s="6">
        <f t="shared" si="4"/>
        <v>4</v>
      </c>
      <c r="J51" s="6">
        <v>2500</v>
      </c>
      <c r="K51" s="6">
        <v>450</v>
      </c>
      <c r="L51" s="57" t="s">
        <v>127</v>
      </c>
      <c r="P51" s="6" t="s">
        <v>167</v>
      </c>
    </row>
    <row r="52" spans="1:16" x14ac:dyDescent="0.3">
      <c r="A52" s="6">
        <v>120</v>
      </c>
      <c r="B52" t="s">
        <v>168</v>
      </c>
      <c r="C52">
        <f t="shared" si="2"/>
        <v>120</v>
      </c>
      <c r="D52" s="6">
        <v>2020</v>
      </c>
      <c r="E52" s="6" t="s">
        <v>4</v>
      </c>
      <c r="F52" s="21">
        <v>40000</v>
      </c>
      <c r="G52" s="47">
        <f t="shared" si="5"/>
        <v>16000</v>
      </c>
      <c r="H52" s="6">
        <f t="shared" si="6"/>
        <v>20</v>
      </c>
      <c r="I52" s="6">
        <f t="shared" si="4"/>
        <v>3</v>
      </c>
      <c r="J52" s="6">
        <v>500</v>
      </c>
      <c r="K52" s="6">
        <v>400</v>
      </c>
      <c r="L52" s="57" t="s">
        <v>127</v>
      </c>
      <c r="P52" s="6" t="s">
        <v>169</v>
      </c>
    </row>
    <row r="53" spans="1:16" x14ac:dyDescent="0.3">
      <c r="A53" s="6">
        <v>122</v>
      </c>
      <c r="B53" t="s">
        <v>170</v>
      </c>
      <c r="C53">
        <f t="shared" si="2"/>
        <v>122</v>
      </c>
      <c r="D53" s="6">
        <v>2023</v>
      </c>
      <c r="E53" s="6" t="s">
        <v>4</v>
      </c>
      <c r="F53" s="21">
        <v>390000</v>
      </c>
      <c r="G53" s="47">
        <f t="shared" si="5"/>
        <v>156000</v>
      </c>
      <c r="H53" s="6">
        <f t="shared" si="6"/>
        <v>20</v>
      </c>
      <c r="I53" s="6">
        <f t="shared" si="4"/>
        <v>0</v>
      </c>
      <c r="J53" s="6">
        <v>400</v>
      </c>
      <c r="K53" s="6">
        <v>340</v>
      </c>
      <c r="L53" s="57" t="s">
        <v>101</v>
      </c>
      <c r="P53" s="6" t="s">
        <v>171</v>
      </c>
    </row>
    <row r="54" spans="1:16" x14ac:dyDescent="0.3">
      <c r="A54" s="6">
        <v>124</v>
      </c>
      <c r="B54" t="s">
        <v>172</v>
      </c>
      <c r="C54">
        <f t="shared" si="2"/>
        <v>124</v>
      </c>
      <c r="D54" s="6">
        <v>2022</v>
      </c>
      <c r="E54" s="6" t="s">
        <v>4</v>
      </c>
      <c r="F54" s="21">
        <v>580000</v>
      </c>
      <c r="G54" s="47">
        <f t="shared" si="5"/>
        <v>232000</v>
      </c>
      <c r="H54" s="6">
        <f t="shared" si="6"/>
        <v>10</v>
      </c>
      <c r="I54" s="6">
        <f t="shared" si="4"/>
        <v>1</v>
      </c>
      <c r="J54" s="6">
        <v>200</v>
      </c>
      <c r="K54" s="6">
        <v>520</v>
      </c>
      <c r="L54" s="57" t="s">
        <v>101</v>
      </c>
      <c r="P54" s="6" t="s">
        <v>173</v>
      </c>
    </row>
    <row r="55" spans="1:16" x14ac:dyDescent="0.3">
      <c r="A55" s="6"/>
      <c r="D55" s="6"/>
      <c r="E55" s="6"/>
      <c r="J55" s="6"/>
    </row>
    <row r="56" spans="1:16" x14ac:dyDescent="0.3">
      <c r="A56" s="6"/>
      <c r="B56" s="31" t="s">
        <v>174</v>
      </c>
      <c r="D56" s="6"/>
      <c r="E56" s="6"/>
      <c r="F56" s="21"/>
      <c r="G56" s="47"/>
      <c r="H56" s="6"/>
      <c r="I56" s="6"/>
      <c r="J56" s="6"/>
    </row>
    <row r="57" spans="1:16" x14ac:dyDescent="0.3">
      <c r="A57" s="6"/>
      <c r="D57" s="6"/>
      <c r="E57" s="6"/>
      <c r="F57" s="21"/>
      <c r="G57" s="47"/>
      <c r="H57" s="6"/>
      <c r="I57" s="6"/>
      <c r="J57" s="6"/>
    </row>
    <row r="58" spans="1:16" x14ac:dyDescent="0.3">
      <c r="A58" s="6">
        <v>4</v>
      </c>
      <c r="B58" t="s">
        <v>175</v>
      </c>
      <c r="C58">
        <f t="shared" ref="C58:C89" si="7">A58</f>
        <v>4</v>
      </c>
      <c r="D58">
        <v>2013</v>
      </c>
      <c r="E58" s="6" t="s">
        <v>5</v>
      </c>
      <c r="F58" s="21">
        <v>19000</v>
      </c>
      <c r="G58" s="47">
        <f t="shared" ref="G58:G89" si="8">F58*0.2</f>
        <v>3800</v>
      </c>
      <c r="H58" s="6">
        <f t="shared" ref="H58:H89" si="9">IF(E58="Power Unit",20,10)</f>
        <v>10</v>
      </c>
      <c r="I58" s="6">
        <f t="shared" ref="I58:I89" si="10">2023-D58</f>
        <v>10</v>
      </c>
      <c r="J58" s="6"/>
      <c r="L58" s="57" t="s">
        <v>176</v>
      </c>
    </row>
    <row r="59" spans="1:16" x14ac:dyDescent="0.3">
      <c r="A59" s="6">
        <v>5</v>
      </c>
      <c r="B59" t="s">
        <v>177</v>
      </c>
      <c r="C59">
        <f t="shared" si="7"/>
        <v>5</v>
      </c>
      <c r="D59" s="6">
        <v>2010</v>
      </c>
      <c r="E59" s="6" t="s">
        <v>5</v>
      </c>
      <c r="F59" s="21">
        <v>11500</v>
      </c>
      <c r="G59" s="47">
        <f t="shared" si="8"/>
        <v>2300</v>
      </c>
      <c r="H59" s="6">
        <f t="shared" si="9"/>
        <v>10</v>
      </c>
      <c r="I59" s="6">
        <f t="shared" si="10"/>
        <v>13</v>
      </c>
      <c r="J59" s="6"/>
      <c r="L59" s="57" t="s">
        <v>178</v>
      </c>
    </row>
    <row r="60" spans="1:16" x14ac:dyDescent="0.3">
      <c r="A60" s="6">
        <v>6</v>
      </c>
      <c r="B60" t="s">
        <v>179</v>
      </c>
      <c r="C60">
        <f t="shared" si="7"/>
        <v>6</v>
      </c>
      <c r="D60" s="6">
        <v>2010</v>
      </c>
      <c r="E60" s="6" t="s">
        <v>5</v>
      </c>
      <c r="F60" s="21">
        <v>11500</v>
      </c>
      <c r="G60" s="47">
        <f t="shared" si="8"/>
        <v>2300</v>
      </c>
      <c r="H60" s="6">
        <f t="shared" si="9"/>
        <v>10</v>
      </c>
      <c r="I60" s="6">
        <f t="shared" si="10"/>
        <v>13</v>
      </c>
      <c r="J60" s="6"/>
      <c r="L60" s="57" t="s">
        <v>178</v>
      </c>
    </row>
    <row r="61" spans="1:16" x14ac:dyDescent="0.3">
      <c r="A61" s="6">
        <v>7</v>
      </c>
      <c r="B61" t="s">
        <v>180</v>
      </c>
      <c r="C61">
        <f t="shared" si="7"/>
        <v>7</v>
      </c>
      <c r="D61" s="6">
        <v>2011</v>
      </c>
      <c r="E61" s="6" t="s">
        <v>5</v>
      </c>
      <c r="F61" s="21">
        <v>35000</v>
      </c>
      <c r="G61" s="47">
        <f t="shared" si="8"/>
        <v>7000</v>
      </c>
      <c r="H61" s="6">
        <f t="shared" si="9"/>
        <v>10</v>
      </c>
      <c r="I61" s="6">
        <f t="shared" si="10"/>
        <v>12</v>
      </c>
      <c r="J61" s="6"/>
      <c r="L61" s="57" t="s">
        <v>181</v>
      </c>
    </row>
    <row r="62" spans="1:16" x14ac:dyDescent="0.3">
      <c r="A62" s="6">
        <v>9</v>
      </c>
      <c r="B62" t="s">
        <v>182</v>
      </c>
      <c r="C62">
        <f t="shared" si="7"/>
        <v>9</v>
      </c>
      <c r="D62" s="6">
        <v>2012</v>
      </c>
      <c r="E62" s="6" t="s">
        <v>5</v>
      </c>
      <c r="F62" s="21">
        <v>4000</v>
      </c>
      <c r="G62" s="47">
        <f t="shared" si="8"/>
        <v>800</v>
      </c>
      <c r="H62" s="6">
        <f t="shared" si="9"/>
        <v>10</v>
      </c>
      <c r="I62" s="6">
        <f t="shared" si="10"/>
        <v>11</v>
      </c>
      <c r="J62" s="6"/>
      <c r="L62" s="57" t="s">
        <v>178</v>
      </c>
    </row>
    <row r="63" spans="1:16" x14ac:dyDescent="0.3">
      <c r="A63" s="6">
        <v>10</v>
      </c>
      <c r="B63" t="s">
        <v>183</v>
      </c>
      <c r="C63">
        <f t="shared" si="7"/>
        <v>10</v>
      </c>
      <c r="D63" s="6">
        <v>2012</v>
      </c>
      <c r="E63" s="6" t="s">
        <v>5</v>
      </c>
      <c r="F63" s="21">
        <v>4000</v>
      </c>
      <c r="G63" s="47">
        <f t="shared" si="8"/>
        <v>800</v>
      </c>
      <c r="H63" s="6">
        <f t="shared" si="9"/>
        <v>10</v>
      </c>
      <c r="I63" s="6">
        <f t="shared" si="10"/>
        <v>11</v>
      </c>
      <c r="J63" s="6"/>
      <c r="L63" s="57" t="s">
        <v>178</v>
      </c>
    </row>
    <row r="64" spans="1:16" x14ac:dyDescent="0.3">
      <c r="A64" s="6">
        <v>11</v>
      </c>
      <c r="B64" t="s">
        <v>184</v>
      </c>
      <c r="C64">
        <f t="shared" si="7"/>
        <v>11</v>
      </c>
      <c r="D64" s="6">
        <v>2012</v>
      </c>
      <c r="E64" s="6" t="s">
        <v>5</v>
      </c>
      <c r="F64" s="21">
        <v>4800</v>
      </c>
      <c r="G64" s="47">
        <f t="shared" si="8"/>
        <v>960</v>
      </c>
      <c r="H64" s="6">
        <f t="shared" si="9"/>
        <v>10</v>
      </c>
      <c r="I64" s="6">
        <f t="shared" si="10"/>
        <v>11</v>
      </c>
      <c r="J64" s="6"/>
      <c r="L64" s="57" t="s">
        <v>185</v>
      </c>
    </row>
    <row r="65" spans="1:16" x14ac:dyDescent="0.3">
      <c r="A65" s="6">
        <v>12</v>
      </c>
      <c r="B65" t="s">
        <v>186</v>
      </c>
      <c r="C65">
        <f t="shared" si="7"/>
        <v>12</v>
      </c>
      <c r="D65" s="6">
        <v>2012</v>
      </c>
      <c r="E65" s="6" t="s">
        <v>5</v>
      </c>
      <c r="F65" s="21">
        <v>5800</v>
      </c>
      <c r="G65" s="47">
        <f t="shared" si="8"/>
        <v>1160</v>
      </c>
      <c r="H65" s="6">
        <f t="shared" si="9"/>
        <v>10</v>
      </c>
      <c r="I65" s="6">
        <f t="shared" si="10"/>
        <v>11</v>
      </c>
      <c r="J65" s="6"/>
      <c r="L65" s="57" t="s">
        <v>185</v>
      </c>
    </row>
    <row r="66" spans="1:16" x14ac:dyDescent="0.3">
      <c r="A66" s="6">
        <v>14</v>
      </c>
      <c r="B66" t="s">
        <v>187</v>
      </c>
      <c r="C66">
        <f t="shared" si="7"/>
        <v>14</v>
      </c>
      <c r="D66" s="6">
        <v>2013</v>
      </c>
      <c r="E66" s="6" t="s">
        <v>5</v>
      </c>
      <c r="F66" s="21">
        <v>8000</v>
      </c>
      <c r="G66" s="47">
        <f t="shared" si="8"/>
        <v>1600</v>
      </c>
      <c r="H66" s="6">
        <f t="shared" si="9"/>
        <v>10</v>
      </c>
      <c r="I66" s="6">
        <f t="shared" si="10"/>
        <v>10</v>
      </c>
      <c r="J66" s="6"/>
      <c r="L66" s="57" t="s">
        <v>188</v>
      </c>
    </row>
    <row r="67" spans="1:16" x14ac:dyDescent="0.3">
      <c r="A67" s="6">
        <v>15</v>
      </c>
      <c r="B67" t="s">
        <v>189</v>
      </c>
      <c r="C67">
        <f t="shared" si="7"/>
        <v>15</v>
      </c>
      <c r="D67" s="6">
        <v>2013</v>
      </c>
      <c r="E67" s="6" t="s">
        <v>5</v>
      </c>
      <c r="F67" s="21">
        <v>41500</v>
      </c>
      <c r="G67" s="47">
        <f t="shared" si="8"/>
        <v>8300</v>
      </c>
      <c r="H67" s="6">
        <f t="shared" si="9"/>
        <v>10</v>
      </c>
      <c r="I67" s="6">
        <f t="shared" si="10"/>
        <v>10</v>
      </c>
      <c r="J67" s="6"/>
      <c r="L67" s="57" t="s">
        <v>176</v>
      </c>
    </row>
    <row r="68" spans="1:16" x14ac:dyDescent="0.3">
      <c r="A68" s="6">
        <v>16</v>
      </c>
      <c r="B68" t="s">
        <v>190</v>
      </c>
      <c r="C68">
        <f t="shared" si="7"/>
        <v>16</v>
      </c>
      <c r="D68" s="6">
        <v>2013</v>
      </c>
      <c r="E68" s="6" t="s">
        <v>5</v>
      </c>
      <c r="F68" s="21">
        <v>10000</v>
      </c>
      <c r="G68" s="47">
        <f t="shared" si="8"/>
        <v>2000</v>
      </c>
      <c r="H68" s="6">
        <f t="shared" si="9"/>
        <v>10</v>
      </c>
      <c r="I68" s="6">
        <f t="shared" si="10"/>
        <v>10</v>
      </c>
      <c r="J68" s="6"/>
      <c r="L68" s="57" t="s">
        <v>191</v>
      </c>
    </row>
    <row r="69" spans="1:16" x14ac:dyDescent="0.3">
      <c r="A69" s="6">
        <v>17</v>
      </c>
      <c r="B69" t="s">
        <v>192</v>
      </c>
      <c r="C69">
        <f t="shared" si="7"/>
        <v>17</v>
      </c>
      <c r="D69" s="6">
        <v>2011</v>
      </c>
      <c r="E69" s="6" t="s">
        <v>5</v>
      </c>
      <c r="F69" s="21">
        <v>7500</v>
      </c>
      <c r="G69" s="47">
        <f t="shared" si="8"/>
        <v>1500</v>
      </c>
      <c r="H69" s="6">
        <f t="shared" si="9"/>
        <v>10</v>
      </c>
      <c r="I69" s="6">
        <f t="shared" si="10"/>
        <v>12</v>
      </c>
      <c r="J69" s="6"/>
      <c r="L69" s="57" t="s">
        <v>185</v>
      </c>
    </row>
    <row r="70" spans="1:16" x14ac:dyDescent="0.3">
      <c r="A70" s="6">
        <v>18</v>
      </c>
      <c r="B70" t="s">
        <v>193</v>
      </c>
      <c r="C70">
        <f t="shared" si="7"/>
        <v>18</v>
      </c>
      <c r="D70" s="6">
        <v>2011</v>
      </c>
      <c r="E70" s="6" t="s">
        <v>5</v>
      </c>
      <c r="F70" s="21">
        <v>5000</v>
      </c>
      <c r="G70" s="47">
        <f t="shared" si="8"/>
        <v>1000</v>
      </c>
      <c r="H70" s="6">
        <f t="shared" si="9"/>
        <v>10</v>
      </c>
      <c r="I70" s="6">
        <f t="shared" si="10"/>
        <v>12</v>
      </c>
      <c r="J70" s="6"/>
      <c r="L70" s="57" t="s">
        <v>194</v>
      </c>
    </row>
    <row r="71" spans="1:16" x14ac:dyDescent="0.3">
      <c r="A71" s="6">
        <v>19</v>
      </c>
      <c r="B71" t="s">
        <v>195</v>
      </c>
      <c r="C71">
        <f t="shared" si="7"/>
        <v>19</v>
      </c>
      <c r="D71" s="6">
        <v>2012</v>
      </c>
      <c r="E71" s="6" t="s">
        <v>5</v>
      </c>
      <c r="F71" s="21">
        <v>8000</v>
      </c>
      <c r="G71" s="47">
        <f t="shared" si="8"/>
        <v>1600</v>
      </c>
      <c r="H71" s="6">
        <f t="shared" si="9"/>
        <v>10</v>
      </c>
      <c r="I71" s="6">
        <f t="shared" si="10"/>
        <v>11</v>
      </c>
      <c r="J71" s="6"/>
      <c r="L71" s="57" t="s">
        <v>178</v>
      </c>
    </row>
    <row r="72" spans="1:16" x14ac:dyDescent="0.3">
      <c r="A72" s="6">
        <v>20</v>
      </c>
      <c r="B72" t="s">
        <v>196</v>
      </c>
      <c r="C72">
        <f t="shared" si="7"/>
        <v>20</v>
      </c>
      <c r="D72" s="6">
        <v>2012</v>
      </c>
      <c r="E72" s="6" t="s">
        <v>5</v>
      </c>
      <c r="F72" s="21">
        <v>19000</v>
      </c>
      <c r="G72" s="47">
        <f t="shared" si="8"/>
        <v>3800</v>
      </c>
      <c r="H72" s="6">
        <f t="shared" si="9"/>
        <v>10</v>
      </c>
      <c r="I72" s="6">
        <f t="shared" si="10"/>
        <v>11</v>
      </c>
      <c r="J72" s="6"/>
      <c r="L72" s="57" t="s">
        <v>197</v>
      </c>
    </row>
    <row r="73" spans="1:16" x14ac:dyDescent="0.3">
      <c r="A73" s="6">
        <v>22</v>
      </c>
      <c r="B73" t="s">
        <v>198</v>
      </c>
      <c r="C73">
        <f t="shared" si="7"/>
        <v>22</v>
      </c>
      <c r="D73" s="6">
        <v>2016</v>
      </c>
      <c r="E73" s="6" t="s">
        <v>5</v>
      </c>
      <c r="F73" s="21">
        <v>6500</v>
      </c>
      <c r="G73" s="47">
        <f t="shared" si="8"/>
        <v>1300</v>
      </c>
      <c r="H73" s="6">
        <f t="shared" si="9"/>
        <v>10</v>
      </c>
      <c r="I73" s="6">
        <f t="shared" si="10"/>
        <v>7</v>
      </c>
      <c r="J73" s="6"/>
      <c r="L73" s="57" t="s">
        <v>178</v>
      </c>
    </row>
    <row r="74" spans="1:16" x14ac:dyDescent="0.3">
      <c r="A74" s="6">
        <v>25</v>
      </c>
      <c r="B74" t="s">
        <v>199</v>
      </c>
      <c r="C74">
        <f t="shared" si="7"/>
        <v>25</v>
      </c>
      <c r="D74" s="6">
        <v>2017</v>
      </c>
      <c r="E74" s="6" t="s">
        <v>5</v>
      </c>
      <c r="F74" s="21">
        <v>83500</v>
      </c>
      <c r="G74" s="47">
        <f t="shared" si="8"/>
        <v>16700</v>
      </c>
      <c r="H74" s="6">
        <f t="shared" si="9"/>
        <v>10</v>
      </c>
      <c r="I74" s="6">
        <f t="shared" si="10"/>
        <v>6</v>
      </c>
      <c r="J74" s="6"/>
      <c r="L74" s="57" t="s">
        <v>178</v>
      </c>
    </row>
    <row r="75" spans="1:16" x14ac:dyDescent="0.3">
      <c r="A75" s="6">
        <v>26</v>
      </c>
      <c r="B75" t="s">
        <v>200</v>
      </c>
      <c r="C75">
        <f t="shared" si="7"/>
        <v>26</v>
      </c>
      <c r="D75" s="6">
        <v>2016</v>
      </c>
      <c r="E75" s="6" t="s">
        <v>5</v>
      </c>
      <c r="F75" s="21">
        <v>35000</v>
      </c>
      <c r="G75" s="47">
        <f t="shared" si="8"/>
        <v>7000</v>
      </c>
      <c r="H75" s="6">
        <f t="shared" si="9"/>
        <v>10</v>
      </c>
      <c r="I75" s="6">
        <f t="shared" si="10"/>
        <v>7</v>
      </c>
      <c r="J75" s="6"/>
      <c r="L75" s="57" t="s">
        <v>201</v>
      </c>
    </row>
    <row r="76" spans="1:16" x14ac:dyDescent="0.3">
      <c r="A76" s="6">
        <v>27</v>
      </c>
      <c r="B76" t="s">
        <v>202</v>
      </c>
      <c r="C76">
        <f t="shared" si="7"/>
        <v>27</v>
      </c>
      <c r="D76" s="6">
        <v>2017</v>
      </c>
      <c r="E76" s="6" t="s">
        <v>5</v>
      </c>
      <c r="F76" s="21">
        <v>1800</v>
      </c>
      <c r="G76" s="47">
        <f t="shared" si="8"/>
        <v>360</v>
      </c>
      <c r="H76" s="6">
        <f t="shared" si="9"/>
        <v>10</v>
      </c>
      <c r="I76" s="6">
        <f t="shared" si="10"/>
        <v>6</v>
      </c>
      <c r="J76" s="6"/>
      <c r="L76" s="57" t="s">
        <v>203</v>
      </c>
    </row>
    <row r="77" spans="1:16" x14ac:dyDescent="0.3">
      <c r="A77" s="6">
        <v>29</v>
      </c>
      <c r="B77" t="s">
        <v>204</v>
      </c>
      <c r="C77">
        <f t="shared" si="7"/>
        <v>29</v>
      </c>
      <c r="D77" s="6">
        <v>2017</v>
      </c>
      <c r="E77" s="6" t="s">
        <v>5</v>
      </c>
      <c r="F77" s="21">
        <v>4500</v>
      </c>
      <c r="G77" s="47">
        <f t="shared" si="8"/>
        <v>900</v>
      </c>
      <c r="H77" s="6">
        <f t="shared" si="9"/>
        <v>10</v>
      </c>
      <c r="I77" s="6">
        <f t="shared" si="10"/>
        <v>6</v>
      </c>
      <c r="J77" s="6"/>
      <c r="L77" s="57" t="s">
        <v>203</v>
      </c>
    </row>
    <row r="78" spans="1:16" x14ac:dyDescent="0.3">
      <c r="A78" s="6">
        <v>30</v>
      </c>
      <c r="B78" t="s">
        <v>205</v>
      </c>
      <c r="C78">
        <f t="shared" si="7"/>
        <v>30</v>
      </c>
      <c r="D78" s="6">
        <v>2017</v>
      </c>
      <c r="E78" s="6" t="s">
        <v>5</v>
      </c>
      <c r="F78" s="21">
        <v>6500</v>
      </c>
      <c r="G78" s="47">
        <f t="shared" si="8"/>
        <v>1300</v>
      </c>
      <c r="H78" s="6">
        <f t="shared" si="9"/>
        <v>10</v>
      </c>
      <c r="I78" s="6">
        <f t="shared" si="10"/>
        <v>6</v>
      </c>
      <c r="J78" s="6"/>
      <c r="L78" s="57" t="s">
        <v>206</v>
      </c>
    </row>
    <row r="79" spans="1:16" x14ac:dyDescent="0.3">
      <c r="A79" s="6">
        <v>32</v>
      </c>
      <c r="B79" t="s">
        <v>207</v>
      </c>
      <c r="C79">
        <f t="shared" si="7"/>
        <v>32</v>
      </c>
      <c r="D79" s="6">
        <v>2018</v>
      </c>
      <c r="E79" s="6" t="s">
        <v>5</v>
      </c>
      <c r="F79" s="21">
        <v>23000</v>
      </c>
      <c r="G79" s="47">
        <f t="shared" si="8"/>
        <v>4600</v>
      </c>
      <c r="H79" s="6">
        <f t="shared" si="9"/>
        <v>10</v>
      </c>
      <c r="I79" s="6">
        <f t="shared" si="10"/>
        <v>5</v>
      </c>
      <c r="J79" s="6"/>
      <c r="L79" s="57" t="s">
        <v>191</v>
      </c>
    </row>
    <row r="80" spans="1:16" x14ac:dyDescent="0.3">
      <c r="A80" s="6">
        <v>33</v>
      </c>
      <c r="B80" t="s">
        <v>208</v>
      </c>
      <c r="C80">
        <f t="shared" si="7"/>
        <v>33</v>
      </c>
      <c r="D80" s="6">
        <v>2018</v>
      </c>
      <c r="E80" s="6" t="s">
        <v>5</v>
      </c>
      <c r="F80" s="21">
        <v>7250</v>
      </c>
      <c r="G80" s="47">
        <f t="shared" si="8"/>
        <v>1450</v>
      </c>
      <c r="H80" s="6">
        <f t="shared" si="9"/>
        <v>10</v>
      </c>
      <c r="I80" s="6">
        <f t="shared" si="10"/>
        <v>5</v>
      </c>
      <c r="J80" s="6"/>
      <c r="L80" s="57" t="s">
        <v>181</v>
      </c>
      <c r="P80" s="23"/>
    </row>
    <row r="81" spans="1:12" x14ac:dyDescent="0.3">
      <c r="A81" s="6">
        <v>35</v>
      </c>
      <c r="B81" t="s">
        <v>209</v>
      </c>
      <c r="C81">
        <f t="shared" si="7"/>
        <v>35</v>
      </c>
      <c r="D81" s="6">
        <v>2019</v>
      </c>
      <c r="E81" s="6" t="s">
        <v>5</v>
      </c>
      <c r="F81" s="21">
        <v>19000</v>
      </c>
      <c r="G81" s="47">
        <f t="shared" si="8"/>
        <v>3800</v>
      </c>
      <c r="H81" s="6">
        <f t="shared" si="9"/>
        <v>10</v>
      </c>
      <c r="I81" s="6">
        <f t="shared" si="10"/>
        <v>4</v>
      </c>
      <c r="J81" s="6"/>
      <c r="L81" s="57" t="s">
        <v>206</v>
      </c>
    </row>
    <row r="82" spans="1:12" x14ac:dyDescent="0.3">
      <c r="A82" s="6">
        <v>36</v>
      </c>
      <c r="B82" t="s">
        <v>210</v>
      </c>
      <c r="C82">
        <f t="shared" si="7"/>
        <v>36</v>
      </c>
      <c r="D82" s="6">
        <v>2019</v>
      </c>
      <c r="E82" s="6" t="s">
        <v>5</v>
      </c>
      <c r="F82" s="21">
        <v>29986</v>
      </c>
      <c r="G82" s="47">
        <f t="shared" si="8"/>
        <v>5997.2000000000007</v>
      </c>
      <c r="H82" s="6">
        <f t="shared" si="9"/>
        <v>10</v>
      </c>
      <c r="I82" s="6">
        <f t="shared" si="10"/>
        <v>4</v>
      </c>
      <c r="J82" s="6"/>
      <c r="L82" s="57" t="s">
        <v>211</v>
      </c>
    </row>
    <row r="83" spans="1:12" x14ac:dyDescent="0.3">
      <c r="A83" s="6">
        <v>37</v>
      </c>
      <c r="B83" t="s">
        <v>212</v>
      </c>
      <c r="C83">
        <f t="shared" si="7"/>
        <v>37</v>
      </c>
      <c r="D83" s="6">
        <v>2019</v>
      </c>
      <c r="E83" s="6" t="s">
        <v>5</v>
      </c>
      <c r="F83" s="21">
        <v>42500</v>
      </c>
      <c r="G83" s="47">
        <f t="shared" si="8"/>
        <v>8500</v>
      </c>
      <c r="H83" s="6">
        <f t="shared" si="9"/>
        <v>10</v>
      </c>
      <c r="I83" s="6">
        <f t="shared" si="10"/>
        <v>4</v>
      </c>
      <c r="J83" s="6"/>
      <c r="L83" s="57" t="s">
        <v>188</v>
      </c>
    </row>
    <row r="84" spans="1:12" x14ac:dyDescent="0.3">
      <c r="A84" s="6">
        <v>39</v>
      </c>
      <c r="B84" t="s">
        <v>213</v>
      </c>
      <c r="C84">
        <f t="shared" si="7"/>
        <v>39</v>
      </c>
      <c r="D84" s="6">
        <v>2020</v>
      </c>
      <c r="E84" s="6" t="s">
        <v>5</v>
      </c>
      <c r="F84" s="21">
        <v>30000</v>
      </c>
      <c r="G84" s="47">
        <f t="shared" si="8"/>
        <v>6000</v>
      </c>
      <c r="H84" s="6">
        <f t="shared" si="9"/>
        <v>10</v>
      </c>
      <c r="I84" s="6">
        <f t="shared" si="10"/>
        <v>3</v>
      </c>
      <c r="J84" s="6"/>
      <c r="L84" s="57" t="s">
        <v>211</v>
      </c>
    </row>
    <row r="85" spans="1:12" x14ac:dyDescent="0.3">
      <c r="A85" s="6">
        <v>41</v>
      </c>
      <c r="B85" t="s">
        <v>214</v>
      </c>
      <c r="C85">
        <f t="shared" si="7"/>
        <v>41</v>
      </c>
      <c r="D85" s="6">
        <v>2020</v>
      </c>
      <c r="E85" s="6" t="s">
        <v>5</v>
      </c>
      <c r="F85" s="21">
        <v>18500</v>
      </c>
      <c r="G85" s="47">
        <f t="shared" si="8"/>
        <v>3700</v>
      </c>
      <c r="H85" s="6">
        <f t="shared" si="9"/>
        <v>10</v>
      </c>
      <c r="I85" s="6">
        <f t="shared" si="10"/>
        <v>3</v>
      </c>
      <c r="J85" s="6"/>
      <c r="L85" s="57" t="s">
        <v>206</v>
      </c>
    </row>
    <row r="86" spans="1:12" x14ac:dyDescent="0.3">
      <c r="A86" s="6">
        <v>42</v>
      </c>
      <c r="B86" t="s">
        <v>215</v>
      </c>
      <c r="C86">
        <f t="shared" si="7"/>
        <v>42</v>
      </c>
      <c r="D86" s="6">
        <v>2020</v>
      </c>
      <c r="E86" s="6" t="s">
        <v>5</v>
      </c>
      <c r="F86" s="21">
        <v>19000</v>
      </c>
      <c r="G86" s="47">
        <f t="shared" si="8"/>
        <v>3800</v>
      </c>
      <c r="H86" s="6">
        <f t="shared" si="9"/>
        <v>10</v>
      </c>
      <c r="I86" s="6">
        <f t="shared" si="10"/>
        <v>3</v>
      </c>
      <c r="J86" s="6"/>
      <c r="L86" s="57" t="s">
        <v>206</v>
      </c>
    </row>
    <row r="87" spans="1:12" x14ac:dyDescent="0.3">
      <c r="A87" s="6">
        <v>43</v>
      </c>
      <c r="B87" t="s">
        <v>216</v>
      </c>
      <c r="C87">
        <f t="shared" si="7"/>
        <v>43</v>
      </c>
      <c r="D87" s="6">
        <v>2020</v>
      </c>
      <c r="E87" s="6" t="s">
        <v>5</v>
      </c>
      <c r="F87" s="21">
        <v>2700</v>
      </c>
      <c r="G87" s="47">
        <f t="shared" si="8"/>
        <v>540</v>
      </c>
      <c r="H87" s="6">
        <f t="shared" si="9"/>
        <v>10</v>
      </c>
      <c r="I87" s="6">
        <f t="shared" si="10"/>
        <v>3</v>
      </c>
      <c r="J87" s="6"/>
      <c r="L87" s="57" t="s">
        <v>217</v>
      </c>
    </row>
    <row r="88" spans="1:12" x14ac:dyDescent="0.3">
      <c r="A88" s="6">
        <v>46</v>
      </c>
      <c r="B88" t="s">
        <v>218</v>
      </c>
      <c r="C88">
        <f t="shared" si="7"/>
        <v>46</v>
      </c>
      <c r="D88" s="6">
        <v>2021</v>
      </c>
      <c r="E88" s="6" t="s">
        <v>5</v>
      </c>
      <c r="F88" s="21">
        <v>20120</v>
      </c>
      <c r="G88" s="47">
        <f t="shared" si="8"/>
        <v>4024</v>
      </c>
      <c r="H88" s="6">
        <f t="shared" si="9"/>
        <v>10</v>
      </c>
      <c r="I88" s="6">
        <f t="shared" si="10"/>
        <v>2</v>
      </c>
      <c r="J88" s="6"/>
      <c r="L88" s="57" t="s">
        <v>178</v>
      </c>
    </row>
    <row r="89" spans="1:12" x14ac:dyDescent="0.3">
      <c r="A89" s="6">
        <v>47</v>
      </c>
      <c r="B89" t="s">
        <v>219</v>
      </c>
      <c r="C89">
        <f t="shared" si="7"/>
        <v>47</v>
      </c>
      <c r="D89" s="6">
        <v>2021</v>
      </c>
      <c r="E89" s="6" t="s">
        <v>5</v>
      </c>
      <c r="F89" s="21">
        <v>31250</v>
      </c>
      <c r="G89" s="47">
        <f t="shared" si="8"/>
        <v>6250</v>
      </c>
      <c r="H89" s="6">
        <f t="shared" si="9"/>
        <v>10</v>
      </c>
      <c r="I89" s="6">
        <f t="shared" si="10"/>
        <v>2</v>
      </c>
      <c r="J89" s="6"/>
      <c r="L89" s="57" t="s">
        <v>220</v>
      </c>
    </row>
    <row r="90" spans="1:12" x14ac:dyDescent="0.3">
      <c r="A90" s="6">
        <v>49</v>
      </c>
      <c r="B90" t="s">
        <v>221</v>
      </c>
      <c r="C90">
        <f t="shared" ref="C90:C121" si="11">A90</f>
        <v>49</v>
      </c>
      <c r="D90" s="6">
        <v>2016</v>
      </c>
      <c r="E90" s="6" t="s">
        <v>5</v>
      </c>
      <c r="F90" s="21">
        <v>200</v>
      </c>
      <c r="G90" s="47">
        <f t="shared" ref="G90:G121" si="12">F90*0.2</f>
        <v>40</v>
      </c>
      <c r="H90" s="6">
        <f t="shared" ref="H90:H121" si="13">IF(E90="Power Unit",20,10)</f>
        <v>10</v>
      </c>
      <c r="I90" s="6">
        <f t="shared" ref="I90:I121" si="14">2023-D90</f>
        <v>7</v>
      </c>
      <c r="J90" s="6"/>
      <c r="L90" s="57" t="s">
        <v>185</v>
      </c>
    </row>
    <row r="91" spans="1:12" x14ac:dyDescent="0.3">
      <c r="A91" s="6">
        <v>50</v>
      </c>
      <c r="B91" t="s">
        <v>222</v>
      </c>
      <c r="C91">
        <f t="shared" si="11"/>
        <v>50</v>
      </c>
      <c r="D91" s="6">
        <v>2016</v>
      </c>
      <c r="E91" s="6" t="s">
        <v>5</v>
      </c>
      <c r="F91" s="21">
        <v>5000</v>
      </c>
      <c r="G91" s="47">
        <f t="shared" si="12"/>
        <v>1000</v>
      </c>
      <c r="H91" s="6">
        <f t="shared" si="13"/>
        <v>10</v>
      </c>
      <c r="I91" s="6">
        <f t="shared" si="14"/>
        <v>7</v>
      </c>
      <c r="J91" s="6"/>
      <c r="L91" s="57" t="s">
        <v>188</v>
      </c>
    </row>
    <row r="92" spans="1:12" x14ac:dyDescent="0.3">
      <c r="A92" s="6">
        <v>51</v>
      </c>
      <c r="B92" t="s">
        <v>223</v>
      </c>
      <c r="C92">
        <f t="shared" si="11"/>
        <v>51</v>
      </c>
      <c r="D92" s="6">
        <v>2016</v>
      </c>
      <c r="E92" s="6" t="s">
        <v>5</v>
      </c>
      <c r="F92" s="21">
        <v>35000</v>
      </c>
      <c r="G92" s="47">
        <f t="shared" si="12"/>
        <v>7000</v>
      </c>
      <c r="H92" s="6">
        <f t="shared" si="13"/>
        <v>10</v>
      </c>
      <c r="I92" s="6">
        <f t="shared" si="14"/>
        <v>7</v>
      </c>
      <c r="J92" s="6"/>
      <c r="L92" s="57" t="s">
        <v>178</v>
      </c>
    </row>
    <row r="93" spans="1:12" x14ac:dyDescent="0.3">
      <c r="A93" s="6">
        <v>52</v>
      </c>
      <c r="B93" t="s">
        <v>224</v>
      </c>
      <c r="C93">
        <f t="shared" si="11"/>
        <v>52</v>
      </c>
      <c r="D93" s="6">
        <v>2016</v>
      </c>
      <c r="E93" s="6" t="s">
        <v>5</v>
      </c>
      <c r="F93" s="21">
        <v>56500</v>
      </c>
      <c r="G93" s="47">
        <f t="shared" si="12"/>
        <v>11300</v>
      </c>
      <c r="H93" s="6">
        <f t="shared" si="13"/>
        <v>10</v>
      </c>
      <c r="I93" s="6">
        <f t="shared" si="14"/>
        <v>7</v>
      </c>
      <c r="J93" s="6"/>
      <c r="L93" s="57" t="s">
        <v>176</v>
      </c>
    </row>
    <row r="94" spans="1:12" x14ac:dyDescent="0.3">
      <c r="A94" s="6">
        <v>54</v>
      </c>
      <c r="B94" t="s">
        <v>225</v>
      </c>
      <c r="C94">
        <f t="shared" si="11"/>
        <v>54</v>
      </c>
      <c r="D94" s="6">
        <v>2017</v>
      </c>
      <c r="E94" s="6" t="s">
        <v>5</v>
      </c>
      <c r="F94" s="21">
        <v>8000</v>
      </c>
      <c r="G94" s="47">
        <f t="shared" si="12"/>
        <v>1600</v>
      </c>
      <c r="H94" s="6">
        <f t="shared" si="13"/>
        <v>10</v>
      </c>
      <c r="I94" s="6">
        <f t="shared" si="14"/>
        <v>6</v>
      </c>
      <c r="J94" s="6"/>
      <c r="L94" s="57" t="s">
        <v>178</v>
      </c>
    </row>
    <row r="95" spans="1:12" x14ac:dyDescent="0.3">
      <c r="A95" s="6">
        <v>55</v>
      </c>
      <c r="B95" t="s">
        <v>226</v>
      </c>
      <c r="C95">
        <f t="shared" si="11"/>
        <v>55</v>
      </c>
      <c r="D95" s="6">
        <v>2017</v>
      </c>
      <c r="E95" s="6" t="s">
        <v>5</v>
      </c>
      <c r="F95" s="21">
        <v>1600</v>
      </c>
      <c r="G95" s="47">
        <f t="shared" si="12"/>
        <v>320</v>
      </c>
      <c r="H95" s="6">
        <f t="shared" si="13"/>
        <v>10</v>
      </c>
      <c r="I95" s="6">
        <f t="shared" si="14"/>
        <v>6</v>
      </c>
      <c r="J95" s="6"/>
      <c r="L95" s="57" t="s">
        <v>227</v>
      </c>
    </row>
    <row r="96" spans="1:12" x14ac:dyDescent="0.3">
      <c r="A96" s="6">
        <v>56</v>
      </c>
      <c r="B96" t="s">
        <v>228</v>
      </c>
      <c r="C96">
        <f t="shared" si="11"/>
        <v>56</v>
      </c>
      <c r="D96" s="6">
        <v>2018</v>
      </c>
      <c r="E96" s="6" t="s">
        <v>5</v>
      </c>
      <c r="F96" s="21">
        <v>7000</v>
      </c>
      <c r="G96" s="47">
        <f t="shared" si="12"/>
        <v>1400</v>
      </c>
      <c r="H96" s="6">
        <f t="shared" si="13"/>
        <v>10</v>
      </c>
      <c r="I96" s="6">
        <f t="shared" si="14"/>
        <v>5</v>
      </c>
      <c r="J96" s="6"/>
      <c r="L96" s="57" t="s">
        <v>229</v>
      </c>
    </row>
    <row r="97" spans="1:12" x14ac:dyDescent="0.3">
      <c r="A97" s="6">
        <v>64</v>
      </c>
      <c r="B97" t="s">
        <v>230</v>
      </c>
      <c r="C97">
        <f t="shared" si="11"/>
        <v>64</v>
      </c>
      <c r="D97" s="6">
        <v>2014</v>
      </c>
      <c r="E97" s="6" t="s">
        <v>5</v>
      </c>
      <c r="F97" s="21">
        <v>7000</v>
      </c>
      <c r="G97" s="47">
        <f t="shared" si="12"/>
        <v>1400</v>
      </c>
      <c r="H97" s="6">
        <f t="shared" si="13"/>
        <v>10</v>
      </c>
      <c r="I97" s="6">
        <f t="shared" si="14"/>
        <v>9</v>
      </c>
      <c r="J97" s="6"/>
      <c r="L97" s="57" t="s">
        <v>188</v>
      </c>
    </row>
    <row r="98" spans="1:12" x14ac:dyDescent="0.3">
      <c r="A98" s="6">
        <v>65</v>
      </c>
      <c r="B98" t="s">
        <v>231</v>
      </c>
      <c r="C98">
        <f t="shared" si="11"/>
        <v>65</v>
      </c>
      <c r="D98" s="6">
        <v>2014</v>
      </c>
      <c r="E98" s="6" t="s">
        <v>5</v>
      </c>
      <c r="F98" s="21">
        <v>900</v>
      </c>
      <c r="G98" s="47">
        <f t="shared" si="12"/>
        <v>180</v>
      </c>
      <c r="H98" s="6">
        <f t="shared" si="13"/>
        <v>10</v>
      </c>
      <c r="I98" s="6">
        <f t="shared" si="14"/>
        <v>9</v>
      </c>
      <c r="J98" s="6"/>
      <c r="L98" s="57" t="s">
        <v>220</v>
      </c>
    </row>
    <row r="99" spans="1:12" x14ac:dyDescent="0.3">
      <c r="A99" s="6">
        <v>66</v>
      </c>
      <c r="B99" t="s">
        <v>232</v>
      </c>
      <c r="C99">
        <f t="shared" si="11"/>
        <v>66</v>
      </c>
      <c r="D99" s="6">
        <v>2014</v>
      </c>
      <c r="E99" s="6" t="s">
        <v>5</v>
      </c>
      <c r="F99" s="21">
        <v>1000</v>
      </c>
      <c r="G99" s="47">
        <f t="shared" si="12"/>
        <v>200</v>
      </c>
      <c r="H99" s="6">
        <f t="shared" si="13"/>
        <v>10</v>
      </c>
      <c r="I99" s="6">
        <f t="shared" si="14"/>
        <v>9</v>
      </c>
      <c r="J99" s="6"/>
      <c r="L99" s="57" t="s">
        <v>233</v>
      </c>
    </row>
    <row r="100" spans="1:12" x14ac:dyDescent="0.3">
      <c r="A100" s="6">
        <v>76</v>
      </c>
      <c r="B100" t="s">
        <v>234</v>
      </c>
      <c r="C100">
        <f t="shared" si="11"/>
        <v>76</v>
      </c>
      <c r="D100" s="6">
        <v>2014</v>
      </c>
      <c r="E100" s="6" t="s">
        <v>5</v>
      </c>
      <c r="F100" s="21">
        <v>6000</v>
      </c>
      <c r="G100" s="47">
        <f t="shared" si="12"/>
        <v>1200</v>
      </c>
      <c r="H100" s="6">
        <f t="shared" si="13"/>
        <v>10</v>
      </c>
      <c r="I100" s="6">
        <f t="shared" si="14"/>
        <v>9</v>
      </c>
      <c r="J100" s="6"/>
      <c r="L100" s="57" t="s">
        <v>191</v>
      </c>
    </row>
    <row r="101" spans="1:12" x14ac:dyDescent="0.3">
      <c r="A101" s="6">
        <v>77</v>
      </c>
      <c r="B101" t="s">
        <v>235</v>
      </c>
      <c r="C101">
        <f t="shared" si="11"/>
        <v>77</v>
      </c>
      <c r="D101" s="6">
        <v>2014</v>
      </c>
      <c r="E101" s="6" t="s">
        <v>5</v>
      </c>
      <c r="F101" s="21">
        <v>2000</v>
      </c>
      <c r="G101" s="47">
        <f t="shared" si="12"/>
        <v>400</v>
      </c>
      <c r="H101" s="6">
        <f t="shared" si="13"/>
        <v>10</v>
      </c>
      <c r="I101" s="6">
        <f t="shared" si="14"/>
        <v>9</v>
      </c>
      <c r="J101" s="6"/>
      <c r="L101" s="57" t="s">
        <v>229</v>
      </c>
    </row>
    <row r="102" spans="1:12" x14ac:dyDescent="0.3">
      <c r="A102" s="6">
        <v>78</v>
      </c>
      <c r="B102" t="s">
        <v>236</v>
      </c>
      <c r="C102">
        <f t="shared" si="11"/>
        <v>78</v>
      </c>
      <c r="D102" s="6">
        <v>2014</v>
      </c>
      <c r="E102" s="6" t="s">
        <v>5</v>
      </c>
      <c r="F102" s="21">
        <v>2000</v>
      </c>
      <c r="G102" s="47">
        <f t="shared" si="12"/>
        <v>400</v>
      </c>
      <c r="H102" s="6">
        <f t="shared" si="13"/>
        <v>10</v>
      </c>
      <c r="I102" s="6">
        <f t="shared" si="14"/>
        <v>9</v>
      </c>
      <c r="J102" s="6"/>
      <c r="L102" s="57" t="s">
        <v>83</v>
      </c>
    </row>
    <row r="103" spans="1:12" x14ac:dyDescent="0.3">
      <c r="A103" s="6">
        <v>80</v>
      </c>
      <c r="B103" t="s">
        <v>237</v>
      </c>
      <c r="C103">
        <f t="shared" si="11"/>
        <v>80</v>
      </c>
      <c r="D103" s="6">
        <v>2014</v>
      </c>
      <c r="E103" s="6" t="s">
        <v>5</v>
      </c>
      <c r="F103" s="21">
        <v>8000</v>
      </c>
      <c r="G103" s="47">
        <f t="shared" si="12"/>
        <v>1600</v>
      </c>
      <c r="H103" s="6">
        <f t="shared" si="13"/>
        <v>10</v>
      </c>
      <c r="I103" s="6">
        <f t="shared" si="14"/>
        <v>9</v>
      </c>
      <c r="J103" s="6"/>
      <c r="L103" s="57" t="s">
        <v>238</v>
      </c>
    </row>
    <row r="104" spans="1:12" x14ac:dyDescent="0.3">
      <c r="A104" s="6">
        <v>81</v>
      </c>
      <c r="B104" t="s">
        <v>239</v>
      </c>
      <c r="C104">
        <f t="shared" si="11"/>
        <v>81</v>
      </c>
      <c r="D104" s="6">
        <v>2014</v>
      </c>
      <c r="E104" s="6" t="s">
        <v>5</v>
      </c>
      <c r="F104" s="21">
        <v>2000</v>
      </c>
      <c r="G104" s="47">
        <f t="shared" si="12"/>
        <v>400</v>
      </c>
      <c r="H104" s="6">
        <f t="shared" si="13"/>
        <v>10</v>
      </c>
      <c r="I104" s="6">
        <f t="shared" si="14"/>
        <v>9</v>
      </c>
      <c r="J104" s="6"/>
      <c r="L104" s="57" t="s">
        <v>188</v>
      </c>
    </row>
    <row r="105" spans="1:12" x14ac:dyDescent="0.3">
      <c r="A105" s="6">
        <v>82</v>
      </c>
      <c r="B105" t="s">
        <v>240</v>
      </c>
      <c r="C105">
        <f t="shared" si="11"/>
        <v>82</v>
      </c>
      <c r="D105" s="6">
        <v>2014</v>
      </c>
      <c r="E105" s="6" t="s">
        <v>5</v>
      </c>
      <c r="F105" s="21">
        <v>2000</v>
      </c>
      <c r="G105" s="47">
        <f t="shared" si="12"/>
        <v>400</v>
      </c>
      <c r="H105" s="6">
        <f t="shared" si="13"/>
        <v>10</v>
      </c>
      <c r="I105" s="6">
        <f t="shared" si="14"/>
        <v>9</v>
      </c>
      <c r="J105" s="6"/>
      <c r="L105" s="57" t="s">
        <v>241</v>
      </c>
    </row>
    <row r="106" spans="1:12" x14ac:dyDescent="0.3">
      <c r="A106" s="6">
        <v>83</v>
      </c>
      <c r="B106" t="s">
        <v>242</v>
      </c>
      <c r="C106">
        <f t="shared" si="11"/>
        <v>83</v>
      </c>
      <c r="D106" s="6">
        <v>2014</v>
      </c>
      <c r="E106" s="6" t="s">
        <v>5</v>
      </c>
      <c r="F106" s="21">
        <v>2000</v>
      </c>
      <c r="G106" s="47">
        <f t="shared" si="12"/>
        <v>400</v>
      </c>
      <c r="H106" s="6">
        <f t="shared" si="13"/>
        <v>10</v>
      </c>
      <c r="I106" s="6">
        <f t="shared" si="14"/>
        <v>9</v>
      </c>
      <c r="J106" s="6"/>
      <c r="L106" s="57" t="s">
        <v>243</v>
      </c>
    </row>
    <row r="107" spans="1:12" x14ac:dyDescent="0.3">
      <c r="A107" s="6">
        <v>84</v>
      </c>
      <c r="B107" t="s">
        <v>244</v>
      </c>
      <c r="C107">
        <f t="shared" si="11"/>
        <v>84</v>
      </c>
      <c r="D107" s="6">
        <v>2014</v>
      </c>
      <c r="E107" s="6" t="s">
        <v>5</v>
      </c>
      <c r="F107" s="21">
        <v>2500</v>
      </c>
      <c r="G107" s="47">
        <f t="shared" si="12"/>
        <v>500</v>
      </c>
      <c r="H107" s="6">
        <f t="shared" si="13"/>
        <v>10</v>
      </c>
      <c r="I107" s="6">
        <f t="shared" si="14"/>
        <v>9</v>
      </c>
      <c r="J107" s="6"/>
      <c r="L107" s="57" t="s">
        <v>203</v>
      </c>
    </row>
    <row r="108" spans="1:12" x14ac:dyDescent="0.3">
      <c r="A108" s="6">
        <v>85</v>
      </c>
      <c r="B108" t="s">
        <v>245</v>
      </c>
      <c r="C108">
        <f t="shared" si="11"/>
        <v>85</v>
      </c>
      <c r="D108" s="6">
        <v>2014</v>
      </c>
      <c r="E108" s="6" t="s">
        <v>5</v>
      </c>
      <c r="F108" s="21">
        <v>2000</v>
      </c>
      <c r="G108" s="47">
        <f t="shared" si="12"/>
        <v>400</v>
      </c>
      <c r="H108" s="6">
        <f t="shared" si="13"/>
        <v>10</v>
      </c>
      <c r="I108" s="6">
        <f t="shared" si="14"/>
        <v>9</v>
      </c>
      <c r="J108" s="6"/>
      <c r="L108" s="57" t="s">
        <v>188</v>
      </c>
    </row>
    <row r="109" spans="1:12" x14ac:dyDescent="0.3">
      <c r="A109" s="6">
        <v>86</v>
      </c>
      <c r="B109" t="s">
        <v>246</v>
      </c>
      <c r="C109">
        <f t="shared" si="11"/>
        <v>86</v>
      </c>
      <c r="D109" s="6">
        <v>2014</v>
      </c>
      <c r="E109" s="6" t="s">
        <v>5</v>
      </c>
      <c r="F109" s="21">
        <v>800</v>
      </c>
      <c r="G109" s="47">
        <f t="shared" si="12"/>
        <v>160</v>
      </c>
      <c r="H109" s="6">
        <f t="shared" si="13"/>
        <v>10</v>
      </c>
      <c r="I109" s="6">
        <f t="shared" si="14"/>
        <v>9</v>
      </c>
      <c r="J109" s="6"/>
      <c r="L109" s="57" t="s">
        <v>227</v>
      </c>
    </row>
    <row r="110" spans="1:12" x14ac:dyDescent="0.3">
      <c r="A110" s="6">
        <v>87</v>
      </c>
      <c r="B110" t="s">
        <v>247</v>
      </c>
      <c r="C110">
        <f t="shared" si="11"/>
        <v>87</v>
      </c>
      <c r="D110" s="6">
        <v>2014</v>
      </c>
      <c r="E110" s="6" t="s">
        <v>5</v>
      </c>
      <c r="F110" s="21">
        <v>2500</v>
      </c>
      <c r="G110" s="47">
        <f t="shared" si="12"/>
        <v>500</v>
      </c>
      <c r="H110" s="6">
        <f t="shared" si="13"/>
        <v>10</v>
      </c>
      <c r="I110" s="6">
        <f t="shared" si="14"/>
        <v>9</v>
      </c>
      <c r="J110" s="6"/>
      <c r="L110" s="57" t="s">
        <v>233</v>
      </c>
    </row>
    <row r="111" spans="1:12" x14ac:dyDescent="0.3">
      <c r="A111" s="6">
        <v>90</v>
      </c>
      <c r="B111" t="s">
        <v>248</v>
      </c>
      <c r="C111">
        <f t="shared" si="11"/>
        <v>90</v>
      </c>
      <c r="D111" s="6">
        <v>2018</v>
      </c>
      <c r="E111" s="6" t="s">
        <v>5</v>
      </c>
      <c r="F111" s="21">
        <v>28136</v>
      </c>
      <c r="G111" s="47">
        <f t="shared" si="12"/>
        <v>5627.2000000000007</v>
      </c>
      <c r="H111" s="6">
        <f t="shared" si="13"/>
        <v>10</v>
      </c>
      <c r="I111" s="6">
        <f t="shared" si="14"/>
        <v>5</v>
      </c>
      <c r="J111" s="6"/>
      <c r="L111" s="57" t="s">
        <v>176</v>
      </c>
    </row>
    <row r="112" spans="1:12" x14ac:dyDescent="0.3">
      <c r="A112" s="6">
        <v>91</v>
      </c>
      <c r="B112" t="s">
        <v>249</v>
      </c>
      <c r="C112">
        <f t="shared" si="11"/>
        <v>91</v>
      </c>
      <c r="D112" s="6">
        <v>2018</v>
      </c>
      <c r="E112" s="6" t="s">
        <v>5</v>
      </c>
      <c r="F112" s="21">
        <v>1500</v>
      </c>
      <c r="G112" s="47">
        <f t="shared" si="12"/>
        <v>300</v>
      </c>
      <c r="H112" s="6">
        <f t="shared" si="13"/>
        <v>10</v>
      </c>
      <c r="I112" s="6">
        <f t="shared" si="14"/>
        <v>5</v>
      </c>
      <c r="J112" s="6"/>
      <c r="L112" s="57" t="s">
        <v>227</v>
      </c>
    </row>
    <row r="113" spans="1:12" x14ac:dyDescent="0.3">
      <c r="A113" s="6">
        <v>92</v>
      </c>
      <c r="B113" t="s">
        <v>250</v>
      </c>
      <c r="C113">
        <f t="shared" si="11"/>
        <v>92</v>
      </c>
      <c r="D113" s="6">
        <v>2019</v>
      </c>
      <c r="E113" s="6" t="s">
        <v>5</v>
      </c>
      <c r="F113" s="21">
        <v>10500</v>
      </c>
      <c r="G113" s="47">
        <f t="shared" si="12"/>
        <v>2100</v>
      </c>
      <c r="H113" s="6">
        <f t="shared" si="13"/>
        <v>10</v>
      </c>
      <c r="I113" s="6">
        <f t="shared" si="14"/>
        <v>4</v>
      </c>
      <c r="J113" s="6"/>
      <c r="L113" s="57" t="s">
        <v>229</v>
      </c>
    </row>
    <row r="114" spans="1:12" x14ac:dyDescent="0.3">
      <c r="A114" s="6">
        <v>93</v>
      </c>
      <c r="B114" t="s">
        <v>251</v>
      </c>
      <c r="C114">
        <f t="shared" si="11"/>
        <v>93</v>
      </c>
      <c r="D114" s="6">
        <v>2019</v>
      </c>
      <c r="E114" s="6" t="s">
        <v>5</v>
      </c>
      <c r="F114" s="21">
        <v>800</v>
      </c>
      <c r="G114" s="47">
        <f t="shared" si="12"/>
        <v>160</v>
      </c>
      <c r="H114" s="6">
        <f t="shared" si="13"/>
        <v>10</v>
      </c>
      <c r="I114" s="6">
        <f t="shared" si="14"/>
        <v>4</v>
      </c>
      <c r="J114" s="6"/>
      <c r="L114" s="57" t="s">
        <v>233</v>
      </c>
    </row>
    <row r="115" spans="1:12" x14ac:dyDescent="0.3">
      <c r="A115" s="6">
        <v>94</v>
      </c>
      <c r="B115" t="s">
        <v>252</v>
      </c>
      <c r="C115">
        <f t="shared" si="11"/>
        <v>94</v>
      </c>
      <c r="D115" s="6">
        <v>2020</v>
      </c>
      <c r="E115" s="6" t="s">
        <v>5</v>
      </c>
      <c r="F115" s="21">
        <v>4500</v>
      </c>
      <c r="G115" s="47">
        <f t="shared" si="12"/>
        <v>900</v>
      </c>
      <c r="H115" s="6">
        <f t="shared" si="13"/>
        <v>10</v>
      </c>
      <c r="I115" s="6">
        <f t="shared" si="14"/>
        <v>3</v>
      </c>
      <c r="J115" s="6"/>
      <c r="L115" s="57" t="s">
        <v>185</v>
      </c>
    </row>
    <row r="116" spans="1:12" x14ac:dyDescent="0.3">
      <c r="A116" s="6">
        <v>95</v>
      </c>
      <c r="B116" t="s">
        <v>253</v>
      </c>
      <c r="C116">
        <f t="shared" si="11"/>
        <v>95</v>
      </c>
      <c r="D116" s="6">
        <v>2020</v>
      </c>
      <c r="E116" s="6" t="s">
        <v>5</v>
      </c>
      <c r="F116" s="21">
        <v>1100</v>
      </c>
      <c r="G116" s="47">
        <f t="shared" si="12"/>
        <v>220</v>
      </c>
      <c r="H116" s="6">
        <f t="shared" si="13"/>
        <v>10</v>
      </c>
      <c r="I116" s="6">
        <f t="shared" si="14"/>
        <v>3</v>
      </c>
      <c r="J116" s="6"/>
      <c r="L116" s="57" t="s">
        <v>254</v>
      </c>
    </row>
    <row r="117" spans="1:12" x14ac:dyDescent="0.3">
      <c r="A117" s="6">
        <v>96</v>
      </c>
      <c r="B117" t="s">
        <v>255</v>
      </c>
      <c r="C117">
        <f t="shared" si="11"/>
        <v>96</v>
      </c>
      <c r="D117" s="6">
        <v>2021</v>
      </c>
      <c r="E117" s="6" t="s">
        <v>5</v>
      </c>
      <c r="F117" s="21">
        <v>6000</v>
      </c>
      <c r="G117" s="47">
        <f t="shared" si="12"/>
        <v>1200</v>
      </c>
      <c r="H117" s="6">
        <f t="shared" si="13"/>
        <v>10</v>
      </c>
      <c r="I117" s="6">
        <f t="shared" si="14"/>
        <v>2</v>
      </c>
      <c r="J117" s="6"/>
      <c r="L117" s="57" t="s">
        <v>256</v>
      </c>
    </row>
    <row r="118" spans="1:12" x14ac:dyDescent="0.3">
      <c r="A118" s="6">
        <v>99</v>
      </c>
      <c r="B118" t="s">
        <v>257</v>
      </c>
      <c r="C118">
        <f t="shared" si="11"/>
        <v>99</v>
      </c>
      <c r="D118" s="6">
        <v>2022</v>
      </c>
      <c r="E118" s="6" t="s">
        <v>5</v>
      </c>
      <c r="F118" s="21">
        <v>1210</v>
      </c>
      <c r="G118" s="47">
        <f t="shared" si="12"/>
        <v>242</v>
      </c>
      <c r="H118" s="6">
        <f t="shared" si="13"/>
        <v>10</v>
      </c>
      <c r="I118" s="6">
        <f t="shared" si="14"/>
        <v>1</v>
      </c>
      <c r="J118" s="6"/>
      <c r="L118" s="57" t="s">
        <v>203</v>
      </c>
    </row>
    <row r="119" spans="1:12" x14ac:dyDescent="0.3">
      <c r="A119" s="6">
        <v>100</v>
      </c>
      <c r="B119" t="s">
        <v>258</v>
      </c>
      <c r="C119">
        <f t="shared" si="11"/>
        <v>100</v>
      </c>
      <c r="D119" s="6">
        <v>2022</v>
      </c>
      <c r="E119" s="6" t="s">
        <v>5</v>
      </c>
      <c r="F119" s="21">
        <v>2500</v>
      </c>
      <c r="G119" s="47">
        <f t="shared" si="12"/>
        <v>500</v>
      </c>
      <c r="H119" s="6">
        <f t="shared" si="13"/>
        <v>10</v>
      </c>
      <c r="I119" s="6">
        <f t="shared" si="14"/>
        <v>1</v>
      </c>
      <c r="J119" s="6"/>
      <c r="L119" s="57" t="s">
        <v>217</v>
      </c>
    </row>
    <row r="120" spans="1:12" x14ac:dyDescent="0.3">
      <c r="A120" s="6">
        <v>101</v>
      </c>
      <c r="B120" t="s">
        <v>259</v>
      </c>
      <c r="C120">
        <f t="shared" si="11"/>
        <v>101</v>
      </c>
      <c r="D120" s="6">
        <v>2022</v>
      </c>
      <c r="E120" s="6" t="s">
        <v>5</v>
      </c>
      <c r="F120" s="21">
        <v>5370</v>
      </c>
      <c r="G120" s="47">
        <f t="shared" si="12"/>
        <v>1074</v>
      </c>
      <c r="H120" s="6">
        <f t="shared" si="13"/>
        <v>10</v>
      </c>
      <c r="I120" s="6">
        <f t="shared" si="14"/>
        <v>1</v>
      </c>
      <c r="J120" s="6"/>
      <c r="L120" s="57" t="s">
        <v>197</v>
      </c>
    </row>
    <row r="121" spans="1:12" x14ac:dyDescent="0.3">
      <c r="A121" s="6">
        <v>102</v>
      </c>
      <c r="B121" t="s">
        <v>260</v>
      </c>
      <c r="C121">
        <f t="shared" si="11"/>
        <v>102</v>
      </c>
      <c r="D121" s="6">
        <v>2023</v>
      </c>
      <c r="E121" s="6" t="s">
        <v>5</v>
      </c>
      <c r="F121" s="21">
        <v>11500</v>
      </c>
      <c r="G121" s="47">
        <f t="shared" si="12"/>
        <v>2300</v>
      </c>
      <c r="H121" s="6">
        <f t="shared" si="13"/>
        <v>10</v>
      </c>
      <c r="I121" s="6">
        <f t="shared" si="14"/>
        <v>0</v>
      </c>
      <c r="J121" s="6"/>
      <c r="L121" s="57" t="s">
        <v>233</v>
      </c>
    </row>
    <row r="122" spans="1:12" x14ac:dyDescent="0.3">
      <c r="A122" s="6">
        <v>103</v>
      </c>
      <c r="B122" t="s">
        <v>261</v>
      </c>
      <c r="C122">
        <f t="shared" ref="C122:C133" si="15">A122</f>
        <v>103</v>
      </c>
      <c r="D122" s="6">
        <v>2020</v>
      </c>
      <c r="E122" s="6" t="s">
        <v>5</v>
      </c>
      <c r="F122" s="21">
        <v>4500</v>
      </c>
      <c r="G122" s="47">
        <f t="shared" ref="G122:G133" si="16">F122*0.2</f>
        <v>900</v>
      </c>
      <c r="H122" s="6">
        <f t="shared" ref="H122:H133" si="17">IF(E122="Power Unit",20,10)</f>
        <v>10</v>
      </c>
      <c r="I122" s="6">
        <f t="shared" ref="I122:I133" si="18">2023-D122</f>
        <v>3</v>
      </c>
      <c r="J122" s="6"/>
      <c r="L122" s="57" t="s">
        <v>181</v>
      </c>
    </row>
    <row r="123" spans="1:12" x14ac:dyDescent="0.3">
      <c r="A123" s="6">
        <v>104</v>
      </c>
      <c r="B123" t="s">
        <v>262</v>
      </c>
      <c r="C123">
        <f t="shared" si="15"/>
        <v>104</v>
      </c>
      <c r="D123" s="6">
        <v>2023</v>
      </c>
      <c r="E123" s="6" t="s">
        <v>5</v>
      </c>
      <c r="F123" s="21">
        <v>3000</v>
      </c>
      <c r="G123" s="47">
        <f t="shared" si="16"/>
        <v>600</v>
      </c>
      <c r="H123" s="6">
        <f t="shared" si="17"/>
        <v>10</v>
      </c>
      <c r="I123" s="6">
        <f t="shared" si="18"/>
        <v>0</v>
      </c>
      <c r="J123" s="6"/>
      <c r="L123" s="57" t="s">
        <v>238</v>
      </c>
    </row>
    <row r="124" spans="1:12" x14ac:dyDescent="0.3">
      <c r="A124" s="6">
        <v>106</v>
      </c>
      <c r="B124" t="s">
        <v>263</v>
      </c>
      <c r="C124">
        <f t="shared" si="15"/>
        <v>106</v>
      </c>
      <c r="D124" s="6">
        <v>2023</v>
      </c>
      <c r="E124" s="6" t="s">
        <v>5</v>
      </c>
      <c r="F124" s="21">
        <v>500</v>
      </c>
      <c r="G124" s="47">
        <f t="shared" si="16"/>
        <v>100</v>
      </c>
      <c r="H124" s="6">
        <f t="shared" si="17"/>
        <v>10</v>
      </c>
      <c r="I124" s="6">
        <f t="shared" si="18"/>
        <v>0</v>
      </c>
      <c r="J124" s="6"/>
      <c r="L124" s="57" t="s">
        <v>233</v>
      </c>
    </row>
    <row r="125" spans="1:12" x14ac:dyDescent="0.3">
      <c r="A125" s="6">
        <v>107</v>
      </c>
      <c r="B125" t="s">
        <v>264</v>
      </c>
      <c r="C125">
        <f t="shared" si="15"/>
        <v>107</v>
      </c>
      <c r="D125" s="6">
        <v>2019</v>
      </c>
      <c r="E125" s="6" t="s">
        <v>5</v>
      </c>
      <c r="F125" s="21">
        <v>10000</v>
      </c>
      <c r="G125" s="47">
        <f t="shared" si="16"/>
        <v>2000</v>
      </c>
      <c r="H125" s="6">
        <f t="shared" si="17"/>
        <v>10</v>
      </c>
      <c r="I125" s="6">
        <f t="shared" si="18"/>
        <v>4</v>
      </c>
      <c r="J125" s="6"/>
      <c r="L125" s="57" t="s">
        <v>178</v>
      </c>
    </row>
    <row r="126" spans="1:12" x14ac:dyDescent="0.3">
      <c r="A126" s="6">
        <v>108</v>
      </c>
      <c r="B126" t="s">
        <v>265</v>
      </c>
      <c r="C126">
        <f t="shared" si="15"/>
        <v>108</v>
      </c>
      <c r="D126" s="6">
        <v>2020</v>
      </c>
      <c r="E126" s="6" t="s">
        <v>5</v>
      </c>
      <c r="F126" s="21">
        <v>6500</v>
      </c>
      <c r="G126" s="47">
        <f t="shared" si="16"/>
        <v>1300</v>
      </c>
      <c r="H126" s="6">
        <f t="shared" si="17"/>
        <v>10</v>
      </c>
      <c r="I126" s="6">
        <f t="shared" si="18"/>
        <v>3</v>
      </c>
      <c r="J126" s="6"/>
      <c r="L126" s="57" t="s">
        <v>178</v>
      </c>
    </row>
    <row r="127" spans="1:12" x14ac:dyDescent="0.3">
      <c r="A127" s="6">
        <v>109</v>
      </c>
      <c r="B127" t="s">
        <v>266</v>
      </c>
      <c r="C127">
        <f t="shared" si="15"/>
        <v>109</v>
      </c>
      <c r="D127" s="6">
        <v>2020</v>
      </c>
      <c r="E127" s="6" t="s">
        <v>5</v>
      </c>
      <c r="F127" s="21">
        <v>3200</v>
      </c>
      <c r="G127" s="47">
        <f t="shared" si="16"/>
        <v>640</v>
      </c>
      <c r="H127" s="6">
        <f t="shared" si="17"/>
        <v>10</v>
      </c>
      <c r="I127" s="6">
        <f t="shared" si="18"/>
        <v>3</v>
      </c>
      <c r="J127" s="6"/>
      <c r="L127" s="57" t="s">
        <v>254</v>
      </c>
    </row>
    <row r="128" spans="1:12" x14ac:dyDescent="0.3">
      <c r="A128" s="6">
        <v>110</v>
      </c>
      <c r="B128" t="s">
        <v>267</v>
      </c>
      <c r="C128">
        <f t="shared" si="15"/>
        <v>110</v>
      </c>
      <c r="D128" s="6">
        <v>2017</v>
      </c>
      <c r="E128" s="6" t="s">
        <v>5</v>
      </c>
      <c r="F128" s="21">
        <v>38000</v>
      </c>
      <c r="G128" s="47">
        <f t="shared" si="16"/>
        <v>7600</v>
      </c>
      <c r="H128" s="6">
        <f t="shared" si="17"/>
        <v>10</v>
      </c>
      <c r="I128" s="6">
        <f t="shared" si="18"/>
        <v>6</v>
      </c>
      <c r="J128" s="6"/>
      <c r="L128" s="57" t="s">
        <v>233</v>
      </c>
    </row>
    <row r="129" spans="1:12" x14ac:dyDescent="0.3">
      <c r="A129" s="6">
        <v>111</v>
      </c>
      <c r="B129" t="s">
        <v>268</v>
      </c>
      <c r="C129">
        <f t="shared" si="15"/>
        <v>111</v>
      </c>
      <c r="D129" s="6">
        <v>2020</v>
      </c>
      <c r="E129" s="6" t="s">
        <v>5</v>
      </c>
      <c r="F129" s="21">
        <v>28745</v>
      </c>
      <c r="G129" s="47">
        <f t="shared" si="16"/>
        <v>5749</v>
      </c>
      <c r="H129" s="6">
        <f t="shared" si="17"/>
        <v>10</v>
      </c>
      <c r="I129" s="6">
        <f t="shared" si="18"/>
        <v>3</v>
      </c>
      <c r="J129" s="6"/>
      <c r="L129" s="57" t="s">
        <v>233</v>
      </c>
    </row>
    <row r="130" spans="1:12" x14ac:dyDescent="0.3">
      <c r="A130" s="6">
        <v>112</v>
      </c>
      <c r="B130" t="s">
        <v>269</v>
      </c>
      <c r="C130">
        <f t="shared" si="15"/>
        <v>112</v>
      </c>
      <c r="D130" s="6">
        <v>2013</v>
      </c>
      <c r="E130" s="6" t="s">
        <v>5</v>
      </c>
      <c r="F130" s="21">
        <v>38500</v>
      </c>
      <c r="G130" s="47">
        <f t="shared" si="16"/>
        <v>7700</v>
      </c>
      <c r="H130" s="6">
        <f t="shared" si="17"/>
        <v>10</v>
      </c>
      <c r="I130" s="6">
        <f t="shared" si="18"/>
        <v>10</v>
      </c>
      <c r="J130" s="6"/>
      <c r="L130" s="57" t="s">
        <v>233</v>
      </c>
    </row>
    <row r="131" spans="1:12" x14ac:dyDescent="0.3">
      <c r="A131" s="6">
        <v>113</v>
      </c>
      <c r="B131" t="s">
        <v>270</v>
      </c>
      <c r="C131">
        <f t="shared" si="15"/>
        <v>113</v>
      </c>
      <c r="D131" s="6">
        <v>2018</v>
      </c>
      <c r="E131" s="6" t="s">
        <v>5</v>
      </c>
      <c r="F131" s="21">
        <v>43610</v>
      </c>
      <c r="G131" s="47">
        <f t="shared" si="16"/>
        <v>8722</v>
      </c>
      <c r="H131" s="6">
        <f t="shared" si="17"/>
        <v>10</v>
      </c>
      <c r="I131" s="6">
        <f t="shared" si="18"/>
        <v>5</v>
      </c>
      <c r="J131" s="6"/>
      <c r="L131" s="57" t="s">
        <v>233</v>
      </c>
    </row>
    <row r="132" spans="1:12" x14ac:dyDescent="0.3">
      <c r="A132" s="6">
        <v>121</v>
      </c>
      <c r="B132" t="s">
        <v>36</v>
      </c>
      <c r="C132">
        <f t="shared" si="15"/>
        <v>121</v>
      </c>
      <c r="D132" s="6">
        <v>2023</v>
      </c>
      <c r="E132" s="6" t="s">
        <v>5</v>
      </c>
      <c r="F132" s="21">
        <v>90000</v>
      </c>
      <c r="G132" s="47">
        <f t="shared" si="16"/>
        <v>18000</v>
      </c>
      <c r="H132" s="6">
        <f t="shared" si="17"/>
        <v>10</v>
      </c>
      <c r="I132" s="6">
        <f t="shared" si="18"/>
        <v>0</v>
      </c>
      <c r="J132" s="6"/>
      <c r="L132" s="57" t="s">
        <v>185</v>
      </c>
    </row>
    <row r="133" spans="1:12" x14ac:dyDescent="0.3">
      <c r="A133" s="6">
        <v>123</v>
      </c>
      <c r="B133" t="s">
        <v>271</v>
      </c>
      <c r="C133">
        <f t="shared" si="15"/>
        <v>123</v>
      </c>
      <c r="D133" s="6">
        <v>2014</v>
      </c>
      <c r="E133" s="6" t="s">
        <v>5</v>
      </c>
      <c r="F133" s="21">
        <v>50000</v>
      </c>
      <c r="G133" s="47">
        <f t="shared" si="16"/>
        <v>10000</v>
      </c>
      <c r="H133" s="6">
        <f t="shared" si="17"/>
        <v>10</v>
      </c>
      <c r="I133" s="6">
        <f t="shared" si="18"/>
        <v>9</v>
      </c>
      <c r="J133" s="6"/>
      <c r="L133" s="57" t="s">
        <v>188</v>
      </c>
    </row>
  </sheetData>
  <sortState xmlns:xlrd2="http://schemas.microsoft.com/office/spreadsheetml/2017/richdata2" ref="A8:K133">
    <sortCondition descending="1" ref="E8:E133"/>
  </sortState>
  <pageMargins left="0.7" right="0.7" top="0.75" bottom="0.75" header="0.3" footer="0.3"/>
  <extLst>
    <ext xmlns:x14="http://schemas.microsoft.com/office/spreadsheetml/2009/9/main" uri="{CCE6A557-97BC-4b89-ADB6-D9C93CAAB3DF}">
      <x14:dataValidations xmlns:xm="http://schemas.microsoft.com/office/excel/2006/main" count="2">
        <x14:dataValidation type="list" showInputMessage="1" showErrorMessage="1" xr:uid="{D31AD312-9DE4-4177-8813-ECF07651B858}">
          <x14:formula1>
            <xm:f>CalcTables!$B$4:$B$34</xm:f>
          </x14:formula1>
          <xm:sqref>L134:L135</xm:sqref>
        </x14:dataValidation>
        <x14:dataValidation type="list" allowBlank="1" showInputMessage="1" showErrorMessage="1" xr:uid="{A333789D-0F2C-4433-8EA6-D379AE43B0C4}">
          <x14:formula1>
            <xm:f>CalcTables!$B$3:$B$60</xm:f>
          </x14:formula1>
          <xm:sqref>L2:L133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88F25-1D15-453B-9444-0B3D2FFC28B2}">
  <dimension ref="A1:N33"/>
  <sheetViews>
    <sheetView workbookViewId="0">
      <selection activeCell="C8" sqref="C8"/>
    </sheetView>
  </sheetViews>
  <sheetFormatPr defaultRowHeight="14.4" x14ac:dyDescent="0.3"/>
  <cols>
    <col min="1" max="1" width="4" customWidth="1"/>
    <col min="2" max="2" width="25.6640625" customWidth="1"/>
    <col min="3" max="3" width="15.6640625" customWidth="1"/>
    <col min="4" max="5" width="13.109375" customWidth="1"/>
    <col min="6" max="6" width="13.44140625" customWidth="1"/>
    <col min="10" max="10" width="8.6640625" style="58"/>
    <col min="11" max="11" width="11.44140625" style="58" bestFit="1" customWidth="1"/>
    <col min="12" max="12" width="21" style="58" customWidth="1"/>
    <col min="13" max="13" width="8.6640625" style="58"/>
    <col min="14" max="14" width="11.44140625" style="58" bestFit="1" customWidth="1"/>
  </cols>
  <sheetData>
    <row r="1" spans="1:14" ht="21" x14ac:dyDescent="0.4">
      <c r="A1" s="26" t="s">
        <v>272</v>
      </c>
    </row>
    <row r="3" spans="1:14" x14ac:dyDescent="0.3">
      <c r="A3" s="5" t="s">
        <v>273</v>
      </c>
      <c r="B3" s="45"/>
      <c r="C3" s="45"/>
      <c r="D3" s="45"/>
      <c r="E3" s="45"/>
      <c r="F3" s="45"/>
    </row>
    <row r="4" spans="1:14" x14ac:dyDescent="0.3">
      <c r="A4" t="s">
        <v>13</v>
      </c>
      <c r="C4">
        <f>VLOOKUP(Calculator!F8,DataValidation!B3:C4,2,FALSE)</f>
        <v>1</v>
      </c>
    </row>
    <row r="5" spans="1:14" x14ac:dyDescent="0.3">
      <c r="A5" t="s">
        <v>274</v>
      </c>
      <c r="C5">
        <f>VLOOKUP(Calculator!F9,DataValidation!$E$3:$F$6,2,FALSE)</f>
        <v>1</v>
      </c>
    </row>
    <row r="6" spans="1:14" x14ac:dyDescent="0.3">
      <c r="J6" s="58" t="s">
        <v>275</v>
      </c>
      <c r="K6" s="58">
        <v>2</v>
      </c>
    </row>
    <row r="7" spans="1:14" x14ac:dyDescent="0.3">
      <c r="A7" s="46" t="s">
        <v>276</v>
      </c>
      <c r="B7" s="45"/>
      <c r="C7" s="45"/>
      <c r="D7" s="45"/>
      <c r="E7" s="45"/>
      <c r="F7" s="45"/>
    </row>
    <row r="8" spans="1:14" x14ac:dyDescent="0.3">
      <c r="C8" t="s">
        <v>4</v>
      </c>
      <c r="D8" t="s">
        <v>5</v>
      </c>
      <c r="J8" s="58">
        <v>1</v>
      </c>
      <c r="K8" s="59">
        <f>DDB($C$9,$C$9-$C$10,8,J8,$K$6)</f>
        <v>10000</v>
      </c>
      <c r="L8" s="60">
        <v>100000</v>
      </c>
      <c r="N8" s="59">
        <f>VDB(C9,100000,8,1,8,(1/8)*2)</f>
        <v>0</v>
      </c>
    </row>
    <row r="9" spans="1:14" x14ac:dyDescent="0.3">
      <c r="A9" t="s">
        <v>277</v>
      </c>
      <c r="C9" s="32">
        <f>Calculator!E53</f>
        <v>40000</v>
      </c>
      <c r="D9" s="32">
        <f>Calculator!F53</f>
        <v>1500</v>
      </c>
      <c r="J9" s="58">
        <v>2</v>
      </c>
      <c r="K9" s="59">
        <f t="shared" ref="K9:K15" si="0">DDB($C$9,$C$9-$C$10,8,J9,$K$6)</f>
        <v>7500</v>
      </c>
      <c r="L9" s="60">
        <v>80000</v>
      </c>
    </row>
    <row r="10" spans="1:14" x14ac:dyDescent="0.3">
      <c r="A10" t="s">
        <v>278</v>
      </c>
      <c r="C10" s="32">
        <f>C9-Calculator!E54</f>
        <v>24000</v>
      </c>
      <c r="D10" s="32">
        <f>D9-Calculator!F54</f>
        <v>1200</v>
      </c>
      <c r="J10" s="58">
        <v>3</v>
      </c>
      <c r="K10" s="59">
        <f t="shared" si="0"/>
        <v>5625</v>
      </c>
      <c r="L10" s="60">
        <v>64000</v>
      </c>
    </row>
    <row r="11" spans="1:14" x14ac:dyDescent="0.3">
      <c r="A11" t="s">
        <v>45</v>
      </c>
      <c r="C11">
        <f>Calculator!E55</f>
        <v>10</v>
      </c>
      <c r="D11">
        <f>Calculator!F55</f>
        <v>10</v>
      </c>
      <c r="J11" s="58">
        <v>4</v>
      </c>
      <c r="K11" s="59">
        <f t="shared" si="0"/>
        <v>875</v>
      </c>
      <c r="L11" s="60">
        <v>51200</v>
      </c>
    </row>
    <row r="12" spans="1:14" x14ac:dyDescent="0.3">
      <c r="A12" t="s">
        <v>46</v>
      </c>
      <c r="C12">
        <f>Calculator!E56</f>
        <v>9</v>
      </c>
      <c r="D12">
        <f>Calculator!F56</f>
        <v>5</v>
      </c>
      <c r="J12" s="58">
        <v>5</v>
      </c>
      <c r="K12" s="59">
        <f t="shared" si="0"/>
        <v>0</v>
      </c>
      <c r="L12" s="60">
        <v>40960</v>
      </c>
    </row>
    <row r="13" spans="1:14" x14ac:dyDescent="0.3">
      <c r="A13" t="s">
        <v>279</v>
      </c>
      <c r="C13">
        <f>(1/C11)*2</f>
        <v>0.2</v>
      </c>
      <c r="D13">
        <f>(1/D11)*2</f>
        <v>0.2</v>
      </c>
      <c r="J13" s="58">
        <v>6</v>
      </c>
      <c r="K13" s="59">
        <f t="shared" si="0"/>
        <v>0</v>
      </c>
      <c r="L13" s="60">
        <v>32768</v>
      </c>
    </row>
    <row r="14" spans="1:14" x14ac:dyDescent="0.3">
      <c r="J14" s="58">
        <v>7</v>
      </c>
      <c r="K14" s="59">
        <f t="shared" si="0"/>
        <v>0</v>
      </c>
      <c r="L14" s="60">
        <v>26214.400000000001</v>
      </c>
    </row>
    <row r="15" spans="1:14" x14ac:dyDescent="0.3">
      <c r="J15" s="58">
        <v>8</v>
      </c>
      <c r="K15" s="59">
        <f t="shared" si="0"/>
        <v>0</v>
      </c>
      <c r="L15" s="60">
        <v>8683.23</v>
      </c>
    </row>
    <row r="16" spans="1:14" x14ac:dyDescent="0.3">
      <c r="C16" t="s">
        <v>4</v>
      </c>
      <c r="D16" t="s">
        <v>5</v>
      </c>
      <c r="K16" s="59"/>
    </row>
    <row r="17" spans="1:12" x14ac:dyDescent="0.3">
      <c r="A17">
        <v>1</v>
      </c>
      <c r="B17" t="s">
        <v>14</v>
      </c>
      <c r="C17" s="32">
        <f>C10/C11</f>
        <v>2400</v>
      </c>
      <c r="D17" s="32">
        <f>D10/D11</f>
        <v>120</v>
      </c>
      <c r="K17" s="59"/>
    </row>
    <row r="18" spans="1:12" x14ac:dyDescent="0.3">
      <c r="A18">
        <v>2</v>
      </c>
      <c r="B18" t="s">
        <v>71</v>
      </c>
      <c r="C18" s="32">
        <f>DDB(C9,C9-C10,C11,C12)</f>
        <v>0</v>
      </c>
      <c r="D18" s="32">
        <f>DDB(D9,D9-D10,D11,D12)</f>
        <v>122.88000000000007</v>
      </c>
    </row>
    <row r="19" spans="1:12" x14ac:dyDescent="0.3">
      <c r="K19" s="59">
        <f>SUM(K8:K17)</f>
        <v>24000</v>
      </c>
      <c r="L19" s="59">
        <f>SUM(L8:L17)</f>
        <v>403825.63</v>
      </c>
    </row>
    <row r="20" spans="1:12" x14ac:dyDescent="0.3">
      <c r="A20" s="46" t="s">
        <v>280</v>
      </c>
      <c r="B20" s="45"/>
      <c r="C20" s="45"/>
      <c r="D20" s="45"/>
      <c r="E20" s="45"/>
      <c r="F20" s="45"/>
    </row>
    <row r="21" spans="1:12" x14ac:dyDescent="0.3">
      <c r="B21" t="s">
        <v>4</v>
      </c>
      <c r="C21" t="s">
        <v>5</v>
      </c>
    </row>
    <row r="22" spans="1:12" x14ac:dyDescent="0.3">
      <c r="B22" s="32">
        <f>CalcSheet!C10*Calculator!$F$10</f>
        <v>2160</v>
      </c>
      <c r="C22" s="32">
        <f>CalcSheet!D10*Calculator!$F$10</f>
        <v>108</v>
      </c>
    </row>
    <row r="24" spans="1:12" x14ac:dyDescent="0.3">
      <c r="A24" s="46" t="s">
        <v>281</v>
      </c>
      <c r="B24" s="46"/>
      <c r="C24" s="46"/>
      <c r="D24" s="46"/>
      <c r="E24" s="46"/>
      <c r="F24" s="46"/>
    </row>
    <row r="27" spans="1:12" x14ac:dyDescent="0.3">
      <c r="A27" t="s">
        <v>23</v>
      </c>
      <c r="C27" s="44">
        <f>Calculator!F13</f>
        <v>5.0000000000000001E-3</v>
      </c>
    </row>
    <row r="28" spans="1:12" x14ac:dyDescent="0.3">
      <c r="A28" t="s">
        <v>25</v>
      </c>
      <c r="C28" s="44">
        <f>Calculator!F14</f>
        <v>1.4E-2</v>
      </c>
    </row>
    <row r="29" spans="1:12" x14ac:dyDescent="0.3">
      <c r="A29" t="s">
        <v>28</v>
      </c>
      <c r="C29" s="44">
        <f>Calculator!F15</f>
        <v>0.01</v>
      </c>
    </row>
    <row r="31" spans="1:12" x14ac:dyDescent="0.3">
      <c r="C31" t="s">
        <v>42</v>
      </c>
      <c r="D31" t="s">
        <v>51</v>
      </c>
      <c r="E31" t="s">
        <v>52</v>
      </c>
      <c r="F31" t="s">
        <v>53</v>
      </c>
      <c r="G31" t="s">
        <v>6</v>
      </c>
    </row>
    <row r="32" spans="1:12" x14ac:dyDescent="0.3">
      <c r="A32" t="s">
        <v>4</v>
      </c>
      <c r="C32" s="20">
        <f>Calculator!E52</f>
        <v>40000</v>
      </c>
      <c r="D32" s="20">
        <f>IF(ISBLANK(Calculator!E43),CalcSheet!C32*CalcSheet!$C$27,Calculator!E43)</f>
        <v>200</v>
      </c>
      <c r="E32" s="20">
        <f>IF(ISBLANK(Calculator!E44),CalcSheet!C32*CalcSheet!$C$28,Calculator!E44)</f>
        <v>560</v>
      </c>
      <c r="F32" s="20">
        <f>IF(ISBLANK(Calculator!E45),CalcSheet!C32*CalcSheet!$C$29,Calculator!E45)</f>
        <v>400</v>
      </c>
      <c r="G32" s="20">
        <f>SUM(D32:F32)</f>
        <v>1160</v>
      </c>
    </row>
    <row r="33" spans="1:7" x14ac:dyDescent="0.3">
      <c r="A33" t="s">
        <v>5</v>
      </c>
      <c r="C33" s="20">
        <f>Calculator!F52</f>
        <v>1500</v>
      </c>
      <c r="D33" s="20">
        <f>IF(ISBLANK(Calculator!F43),CalcSheet!C33*CalcSheet!$C$27,Calculator!F43)</f>
        <v>7.5</v>
      </c>
      <c r="E33" s="20">
        <f>IF(ISBLANK(Calculator!F44),CalcSheet!C33*CalcSheet!$C$28,Calculator!F44)</f>
        <v>21</v>
      </c>
      <c r="F33" s="20">
        <f>IF(ISBLANK(Calculator!F45),CalcSheet!C33*CalcSheet!$C$29,Calculator!F45)</f>
        <v>15</v>
      </c>
      <c r="G33" s="20">
        <f>SUM(D33:F33)</f>
        <v>43.5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8957D-94FE-4281-BA61-781035D160BF}">
  <dimension ref="B1:C43"/>
  <sheetViews>
    <sheetView workbookViewId="0">
      <selection activeCell="C17" sqref="C17"/>
    </sheetView>
  </sheetViews>
  <sheetFormatPr defaultRowHeight="14.4" x14ac:dyDescent="0.3"/>
  <cols>
    <col min="1" max="1" width="4.5546875" customWidth="1"/>
    <col min="2" max="2" width="59.88671875" customWidth="1"/>
    <col min="3" max="3" width="35.109375" style="6" bestFit="1" customWidth="1"/>
  </cols>
  <sheetData>
    <row r="1" spans="2:3" x14ac:dyDescent="0.3">
      <c r="B1" s="5"/>
    </row>
    <row r="2" spans="2:3" x14ac:dyDescent="0.3">
      <c r="B2" s="77" t="s">
        <v>282</v>
      </c>
      <c r="C2" s="76" t="s">
        <v>283</v>
      </c>
    </row>
    <row r="3" spans="2:3" x14ac:dyDescent="0.3">
      <c r="B3" t="s">
        <v>83</v>
      </c>
      <c r="C3" s="56">
        <v>0</v>
      </c>
    </row>
    <row r="4" spans="2:3" x14ac:dyDescent="0.3">
      <c r="B4" t="s">
        <v>104</v>
      </c>
      <c r="C4" s="56">
        <v>8.3999999999999995E-3</v>
      </c>
    </row>
    <row r="5" spans="2:3" x14ac:dyDescent="0.3">
      <c r="B5" t="s">
        <v>284</v>
      </c>
      <c r="C5" s="56">
        <v>1.12E-2</v>
      </c>
    </row>
    <row r="6" spans="2:3" x14ac:dyDescent="0.3">
      <c r="B6" t="s">
        <v>101</v>
      </c>
      <c r="C6" s="56">
        <v>4.7999999999999996E-3</v>
      </c>
    </row>
    <row r="7" spans="2:3" x14ac:dyDescent="0.3">
      <c r="B7" t="s">
        <v>243</v>
      </c>
      <c r="C7" s="56">
        <v>5.0500000000000003E-2</v>
      </c>
    </row>
    <row r="8" spans="2:3" x14ac:dyDescent="0.3">
      <c r="B8" t="s">
        <v>185</v>
      </c>
      <c r="C8" s="56">
        <v>2.92E-2</v>
      </c>
    </row>
    <row r="9" spans="2:3" x14ac:dyDescent="0.3">
      <c r="B9" s="31" t="s">
        <v>181</v>
      </c>
      <c r="C9" s="56">
        <v>3.6999999999999998E-2</v>
      </c>
    </row>
    <row r="10" spans="2:3" x14ac:dyDescent="0.3">
      <c r="B10" t="s">
        <v>241</v>
      </c>
      <c r="C10" s="56">
        <v>5.3999999999999999E-2</v>
      </c>
    </row>
    <row r="11" spans="2:3" x14ac:dyDescent="0.3">
      <c r="B11" t="s">
        <v>256</v>
      </c>
      <c r="C11" s="56">
        <v>3.56E-2</v>
      </c>
    </row>
    <row r="12" spans="2:3" x14ac:dyDescent="0.3">
      <c r="B12" t="s">
        <v>285</v>
      </c>
      <c r="C12" s="56">
        <v>3.0300000000000001E-2</v>
      </c>
    </row>
    <row r="13" spans="2:3" x14ac:dyDescent="0.3">
      <c r="B13" t="s">
        <v>206</v>
      </c>
      <c r="C13" s="56">
        <v>3.9100000000000003E-2</v>
      </c>
    </row>
    <row r="14" spans="2:3" x14ac:dyDescent="0.3">
      <c r="B14" t="s">
        <v>188</v>
      </c>
      <c r="C14" s="56">
        <v>0.05</v>
      </c>
    </row>
    <row r="15" spans="2:3" x14ac:dyDescent="0.3">
      <c r="B15" t="s">
        <v>286</v>
      </c>
      <c r="C15" s="56">
        <v>7.4700000000000003E-2</v>
      </c>
    </row>
    <row r="16" spans="2:3" x14ac:dyDescent="0.3">
      <c r="B16" t="s">
        <v>254</v>
      </c>
      <c r="C16" s="56">
        <v>8.7999999999999995E-2</v>
      </c>
    </row>
    <row r="17" spans="2:3" x14ac:dyDescent="0.3">
      <c r="B17" t="s">
        <v>287</v>
      </c>
      <c r="C17" s="56">
        <v>3.1199999999999999E-2</v>
      </c>
    </row>
    <row r="18" spans="2:3" x14ac:dyDescent="0.3">
      <c r="B18" t="s">
        <v>98</v>
      </c>
      <c r="C18" s="56">
        <v>1.7999999999999999E-2</v>
      </c>
    </row>
    <row r="19" spans="2:3" x14ac:dyDescent="0.3">
      <c r="B19" t="s">
        <v>191</v>
      </c>
      <c r="C19" s="56">
        <v>2.4500000000000001E-2</v>
      </c>
    </row>
    <row r="20" spans="2:3" x14ac:dyDescent="0.3">
      <c r="B20" t="s">
        <v>229</v>
      </c>
      <c r="C20" s="56">
        <v>0.04</v>
      </c>
    </row>
    <row r="21" spans="2:3" x14ac:dyDescent="0.3">
      <c r="B21" t="s">
        <v>176</v>
      </c>
      <c r="C21" s="56">
        <v>1.7399999999999999E-2</v>
      </c>
    </row>
    <row r="22" spans="2:3" x14ac:dyDescent="0.3">
      <c r="B22" t="s">
        <v>288</v>
      </c>
      <c r="C22" s="56">
        <v>5.9499999999999997E-2</v>
      </c>
    </row>
    <row r="23" spans="2:3" x14ac:dyDescent="0.3">
      <c r="B23" t="s">
        <v>289</v>
      </c>
      <c r="C23" s="56">
        <v>2.5999999999999999E-2</v>
      </c>
    </row>
    <row r="24" spans="2:3" x14ac:dyDescent="0.3">
      <c r="B24" t="s">
        <v>290</v>
      </c>
      <c r="C24" s="56">
        <v>1.2E-2</v>
      </c>
    </row>
    <row r="25" spans="2:3" x14ac:dyDescent="0.3">
      <c r="B25" t="s">
        <v>291</v>
      </c>
      <c r="C25" s="56">
        <v>2.6499999999999999E-2</v>
      </c>
    </row>
    <row r="26" spans="2:3" x14ac:dyDescent="0.3">
      <c r="B26" t="s">
        <v>201</v>
      </c>
      <c r="C26" s="56">
        <v>7.7700000000000005E-2</v>
      </c>
    </row>
    <row r="27" spans="2:3" x14ac:dyDescent="0.3">
      <c r="B27" t="s">
        <v>292</v>
      </c>
      <c r="C27" s="56">
        <v>2.7400000000000001E-2</v>
      </c>
    </row>
    <row r="28" spans="2:3" x14ac:dyDescent="0.3">
      <c r="B28" t="s">
        <v>86</v>
      </c>
      <c r="C28" s="56">
        <v>1.3299999999999999E-2</v>
      </c>
    </row>
    <row r="29" spans="2:3" x14ac:dyDescent="0.3">
      <c r="B29" t="s">
        <v>197</v>
      </c>
      <c r="C29" s="56">
        <v>2.64E-2</v>
      </c>
    </row>
    <row r="30" spans="2:3" x14ac:dyDescent="0.3">
      <c r="B30" t="s">
        <v>293</v>
      </c>
      <c r="C30" s="56">
        <v>2.4299999999999999E-2</v>
      </c>
    </row>
    <row r="31" spans="2:3" x14ac:dyDescent="0.3">
      <c r="B31" t="s">
        <v>227</v>
      </c>
      <c r="C31" s="56">
        <v>4.6300000000000001E-2</v>
      </c>
    </row>
    <row r="32" spans="2:3" x14ac:dyDescent="0.3">
      <c r="B32" t="s">
        <v>294</v>
      </c>
      <c r="C32" s="56">
        <v>1.1299999999999999E-2</v>
      </c>
    </row>
    <row r="33" spans="2:3" x14ac:dyDescent="0.3">
      <c r="B33" t="s">
        <v>295</v>
      </c>
      <c r="C33" s="56">
        <v>2.8999999999999998E-3</v>
      </c>
    </row>
    <row r="34" spans="2:3" x14ac:dyDescent="0.3">
      <c r="B34" t="s">
        <v>220</v>
      </c>
      <c r="C34" s="56">
        <v>3.09E-2</v>
      </c>
    </row>
    <row r="35" spans="2:3" x14ac:dyDescent="0.3">
      <c r="B35" t="s">
        <v>127</v>
      </c>
      <c r="C35" s="56">
        <v>0.02</v>
      </c>
    </row>
    <row r="36" spans="2:3" x14ac:dyDescent="0.3">
      <c r="B36" t="s">
        <v>112</v>
      </c>
      <c r="C36" s="56">
        <v>0.02</v>
      </c>
    </row>
    <row r="37" spans="2:3" x14ac:dyDescent="0.3">
      <c r="B37" t="s">
        <v>91</v>
      </c>
      <c r="C37" s="56">
        <v>0.01</v>
      </c>
    </row>
    <row r="38" spans="2:3" x14ac:dyDescent="0.3">
      <c r="B38" t="s">
        <v>178</v>
      </c>
      <c r="C38" s="56">
        <v>2.4E-2</v>
      </c>
    </row>
    <row r="39" spans="2:3" x14ac:dyDescent="0.3">
      <c r="B39" t="s">
        <v>203</v>
      </c>
      <c r="C39" s="56">
        <v>2.92E-2</v>
      </c>
    </row>
    <row r="40" spans="2:3" x14ac:dyDescent="0.3">
      <c r="B40" t="s">
        <v>233</v>
      </c>
      <c r="C40" s="56">
        <v>1.7000000000000001E-2</v>
      </c>
    </row>
    <row r="41" spans="2:3" x14ac:dyDescent="0.3">
      <c r="B41" t="s">
        <v>238</v>
      </c>
      <c r="C41" s="56">
        <v>5.0000000000000001E-3</v>
      </c>
    </row>
    <row r="42" spans="2:3" x14ac:dyDescent="0.3">
      <c r="B42" t="s">
        <v>217</v>
      </c>
      <c r="C42" s="56">
        <v>0.02</v>
      </c>
    </row>
    <row r="43" spans="2:3" x14ac:dyDescent="0.3">
      <c r="B43" s="74" t="s">
        <v>96</v>
      </c>
      <c r="C43" s="75">
        <v>5.0000000000000001E-3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Title Page</vt:lpstr>
      <vt:lpstr>Calculator</vt:lpstr>
      <vt:lpstr>Estimating Salvage Value</vt:lpstr>
      <vt:lpstr>DataValidation</vt:lpstr>
      <vt:lpstr>UIMachCostsDataset</vt:lpstr>
      <vt:lpstr>CalcSheet</vt:lpstr>
      <vt:lpstr>CalcTables</vt:lpstr>
      <vt:lpstr>'Title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Hand, Tyler (hand7029@vandals.uidaho.edu)</dc:creator>
  <cp:keywords/>
  <dc:description/>
  <cp:lastModifiedBy>Wilder, Brett (bwilder@uidaho.edu)</cp:lastModifiedBy>
  <cp:revision/>
  <dcterms:created xsi:type="dcterms:W3CDTF">2023-11-26T23:37:41Z</dcterms:created>
  <dcterms:modified xsi:type="dcterms:W3CDTF">2024-03-22T13:53:49Z</dcterms:modified>
  <cp:category/>
  <cp:contentStatus/>
</cp:coreProperties>
</file>