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Documents\CREP Project\"/>
    </mc:Choice>
  </mc:AlternateContent>
  <xr:revisionPtr revIDLastSave="0" documentId="8_{8E51C699-D8D2-4D5A-BBC5-BA8D7AD25E3C}" xr6:coauthVersionLast="44" xr6:coauthVersionMax="44" xr10:uidLastSave="{00000000-0000-0000-0000-000000000000}"/>
  <bookViews>
    <workbookView xWindow="-108" yWindow="-108" windowWidth="23256" windowHeight="12576" xr2:uid="{53EFE8B1-BFDA-4081-A08D-8CEEEC4E2DF4}"/>
  </bookViews>
  <sheets>
    <sheet name="Scenario 1" sheetId="1" r:id="rId1"/>
    <sheet name="Scenario 2" sheetId="2" r:id="rId2"/>
    <sheet name="Scenario 3" sheetId="3" r:id="rId3"/>
    <sheet name="Scenario 4" sheetId="4" r:id="rId4"/>
    <sheet name="Summar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" l="1"/>
  <c r="E5" i="5" l="1"/>
  <c r="D5" i="5"/>
  <c r="C5" i="5"/>
  <c r="B5" i="5"/>
  <c r="H59" i="4"/>
  <c r="H39" i="4"/>
  <c r="H19" i="4"/>
  <c r="H39" i="3"/>
  <c r="H59" i="3"/>
  <c r="H19" i="3"/>
  <c r="H59" i="2"/>
  <c r="M54" i="2"/>
  <c r="H39" i="2"/>
  <c r="M34" i="2"/>
  <c r="H19" i="2"/>
  <c r="M14" i="2"/>
  <c r="D12" i="1"/>
  <c r="R54" i="1"/>
  <c r="M54" i="1"/>
  <c r="R34" i="1"/>
  <c r="M34" i="1"/>
  <c r="D9" i="1"/>
  <c r="H39" i="1"/>
  <c r="H19" i="1"/>
  <c r="R14" i="1"/>
  <c r="M14" i="1"/>
  <c r="D3" i="5" l="1"/>
  <c r="E3" i="5" s="1"/>
  <c r="C3" i="5"/>
  <c r="E6" i="5"/>
  <c r="D6" i="5"/>
  <c r="C6" i="5"/>
  <c r="D17" i="4"/>
  <c r="E17" i="4" s="1"/>
  <c r="D16" i="4"/>
  <c r="E16" i="4" s="1"/>
  <c r="D14" i="4"/>
  <c r="D13" i="4"/>
  <c r="D11" i="4"/>
  <c r="D10" i="4"/>
  <c r="D8" i="4"/>
  <c r="D7" i="4"/>
  <c r="E7" i="4"/>
  <c r="E8" i="4"/>
  <c r="E10" i="4"/>
  <c r="E11" i="4"/>
  <c r="E12" i="4"/>
  <c r="E13" i="4"/>
  <c r="E14" i="4"/>
  <c r="E6" i="4"/>
  <c r="D15" i="4"/>
  <c r="E15" i="4" s="1"/>
  <c r="D12" i="4"/>
  <c r="D9" i="4"/>
  <c r="E9" i="4" s="1"/>
  <c r="D6" i="4"/>
  <c r="E7" i="3"/>
  <c r="E8" i="3"/>
  <c r="E10" i="3"/>
  <c r="E11" i="3"/>
  <c r="E12" i="3"/>
  <c r="E13" i="3"/>
  <c r="E14" i="3"/>
  <c r="E15" i="3"/>
  <c r="E16" i="3"/>
  <c r="E17" i="3"/>
  <c r="D17" i="3"/>
  <c r="D16" i="3"/>
  <c r="D14" i="3"/>
  <c r="D13" i="3"/>
  <c r="D11" i="3"/>
  <c r="D10" i="3"/>
  <c r="D8" i="3"/>
  <c r="D7" i="3"/>
  <c r="D15" i="3"/>
  <c r="D12" i="3"/>
  <c r="D9" i="3"/>
  <c r="E9" i="3" s="1"/>
  <c r="D6" i="3"/>
  <c r="E6" i="3" s="1"/>
  <c r="E8" i="2"/>
  <c r="E11" i="2"/>
  <c r="E14" i="2"/>
  <c r="E17" i="2"/>
  <c r="D17" i="2"/>
  <c r="D14" i="2"/>
  <c r="D11" i="2"/>
  <c r="D8" i="2"/>
  <c r="D15" i="2"/>
  <c r="E15" i="2" s="1"/>
  <c r="D12" i="2"/>
  <c r="E12" i="2" s="1"/>
  <c r="D9" i="2"/>
  <c r="E9" i="2" s="1"/>
  <c r="D6" i="2"/>
  <c r="E12" i="1"/>
  <c r="D15" i="1"/>
  <c r="E15" i="1" s="1"/>
  <c r="E9" i="1"/>
  <c r="D6" i="1"/>
  <c r="E6" i="1" s="1"/>
  <c r="P57" i="4"/>
  <c r="W57" i="4"/>
  <c r="R57" i="4"/>
  <c r="W53" i="4"/>
  <c r="R53" i="4"/>
  <c r="U48" i="4"/>
  <c r="U57" i="4" s="1"/>
  <c r="P48" i="4"/>
  <c r="W37" i="4"/>
  <c r="W33" i="4"/>
  <c r="R33" i="4"/>
  <c r="R37" i="4" s="1"/>
  <c r="U28" i="4"/>
  <c r="U37" i="4" s="1"/>
  <c r="P28" i="4"/>
  <c r="P37" i="4" s="1"/>
  <c r="P17" i="4"/>
  <c r="W17" i="4"/>
  <c r="R17" i="4"/>
  <c r="W13" i="4"/>
  <c r="R13" i="4"/>
  <c r="U9" i="4"/>
  <c r="P9" i="4"/>
  <c r="U8" i="4"/>
  <c r="U17" i="4" s="1"/>
  <c r="P8" i="4"/>
  <c r="R53" i="3"/>
  <c r="R57" i="3" s="1"/>
  <c r="P48" i="3"/>
  <c r="P57" i="3" s="1"/>
  <c r="R37" i="3"/>
  <c r="P37" i="3"/>
  <c r="R33" i="3"/>
  <c r="P28" i="3"/>
  <c r="P17" i="3"/>
  <c r="P19" i="3" s="1"/>
  <c r="R13" i="3"/>
  <c r="R17" i="3" s="1"/>
  <c r="P9" i="3"/>
  <c r="P8" i="3"/>
  <c r="K48" i="3"/>
  <c r="M53" i="3"/>
  <c r="M33" i="3"/>
  <c r="K28" i="3"/>
  <c r="M13" i="3"/>
  <c r="K8" i="3"/>
  <c r="R53" i="2"/>
  <c r="P48" i="2"/>
  <c r="R33" i="2"/>
  <c r="P28" i="2"/>
  <c r="R13" i="2"/>
  <c r="P8" i="2"/>
  <c r="E32" i="1"/>
  <c r="E33" i="1"/>
  <c r="E35" i="1"/>
  <c r="E36" i="1"/>
  <c r="U59" i="4" l="1"/>
  <c r="U39" i="4"/>
  <c r="P39" i="4"/>
  <c r="U19" i="4"/>
  <c r="P19" i="4"/>
  <c r="P59" i="3"/>
  <c r="P39" i="3"/>
  <c r="P59" i="4"/>
  <c r="E36" i="3"/>
  <c r="E35" i="3"/>
  <c r="E34" i="3"/>
  <c r="E33" i="3"/>
  <c r="E32" i="3"/>
  <c r="E31" i="3"/>
  <c r="E30" i="3"/>
  <c r="E29" i="3"/>
  <c r="E28" i="3"/>
  <c r="E27" i="3"/>
  <c r="E26" i="3"/>
  <c r="E25" i="3"/>
  <c r="E36" i="2"/>
  <c r="E35" i="2"/>
  <c r="E34" i="2"/>
  <c r="E33" i="2"/>
  <c r="E32" i="2"/>
  <c r="E31" i="2"/>
  <c r="E30" i="2"/>
  <c r="E29" i="2"/>
  <c r="E28" i="2"/>
  <c r="E27" i="2"/>
  <c r="E26" i="2"/>
  <c r="E25" i="2"/>
  <c r="E36" i="4"/>
  <c r="E35" i="4"/>
  <c r="E34" i="4"/>
  <c r="E33" i="4"/>
  <c r="E32" i="4"/>
  <c r="E31" i="4"/>
  <c r="E30" i="4"/>
  <c r="E29" i="4"/>
  <c r="E28" i="4"/>
  <c r="E27" i="4"/>
  <c r="E26" i="4"/>
  <c r="E25" i="4"/>
  <c r="M57" i="2"/>
  <c r="P48" i="1"/>
  <c r="P28" i="1"/>
  <c r="P8" i="1"/>
  <c r="E26" i="1"/>
  <c r="E27" i="1"/>
  <c r="E28" i="1"/>
  <c r="E29" i="1"/>
  <c r="E30" i="1"/>
  <c r="E31" i="1"/>
  <c r="E34" i="1"/>
  <c r="E25" i="1"/>
  <c r="M17" i="2"/>
  <c r="R17" i="1"/>
  <c r="K55" i="4"/>
  <c r="K54" i="4"/>
  <c r="K53" i="4"/>
  <c r="K33" i="4"/>
  <c r="K13" i="4"/>
  <c r="K35" i="4"/>
  <c r="K34" i="4"/>
  <c r="K14" i="4"/>
  <c r="K15" i="4"/>
  <c r="M57" i="4"/>
  <c r="M37" i="4"/>
  <c r="M17" i="4"/>
  <c r="H50" i="4"/>
  <c r="H30" i="4"/>
  <c r="H10" i="4"/>
  <c r="K57" i="3"/>
  <c r="M17" i="3"/>
  <c r="K9" i="3"/>
  <c r="M57" i="3"/>
  <c r="H50" i="3"/>
  <c r="M37" i="3"/>
  <c r="H30" i="3"/>
  <c r="H10" i="3"/>
  <c r="R17" i="2"/>
  <c r="P9" i="2"/>
  <c r="P17" i="2"/>
  <c r="R57" i="2"/>
  <c r="H50" i="2"/>
  <c r="K48" i="2"/>
  <c r="K57" i="2" s="1"/>
  <c r="R37" i="2"/>
  <c r="M37" i="2"/>
  <c r="H30" i="2"/>
  <c r="K28" i="2"/>
  <c r="K37" i="2" s="1"/>
  <c r="H10" i="2"/>
  <c r="K8" i="2"/>
  <c r="K17" i="2" s="1"/>
  <c r="R57" i="1"/>
  <c r="M57" i="1"/>
  <c r="P57" i="1"/>
  <c r="K48" i="1"/>
  <c r="R37" i="1"/>
  <c r="K28" i="1"/>
  <c r="K37" i="1" s="1"/>
  <c r="P37" i="1"/>
  <c r="M17" i="1"/>
  <c r="P17" i="1"/>
  <c r="K8" i="1"/>
  <c r="K57" i="1"/>
  <c r="H50" i="1"/>
  <c r="H30" i="1"/>
  <c r="H10" i="1"/>
  <c r="K17" i="1"/>
  <c r="E38" i="3" l="1"/>
  <c r="E38" i="2"/>
  <c r="E38" i="4"/>
  <c r="E38" i="1"/>
  <c r="B6" i="5" s="1"/>
  <c r="M37" i="1"/>
  <c r="K39" i="1" s="1"/>
  <c r="D10" i="1" s="1"/>
  <c r="E10" i="1" s="1"/>
  <c r="K37" i="4"/>
  <c r="K39" i="4" s="1"/>
  <c r="K57" i="4"/>
  <c r="K59" i="4" s="1"/>
  <c r="K37" i="3"/>
  <c r="K39" i="3" s="1"/>
  <c r="K17" i="3"/>
  <c r="K19" i="3" s="1"/>
  <c r="P37" i="2"/>
  <c r="P39" i="2" s="1"/>
  <c r="K39" i="2"/>
  <c r="D10" i="2" s="1"/>
  <c r="E10" i="2" s="1"/>
  <c r="P57" i="2"/>
  <c r="P59" i="2" s="1"/>
  <c r="K19" i="2"/>
  <c r="D7" i="2" s="1"/>
  <c r="E7" i="2" s="1"/>
  <c r="K59" i="2"/>
  <c r="K17" i="4"/>
  <c r="K19" i="4" s="1"/>
  <c r="K59" i="3"/>
  <c r="P19" i="2"/>
  <c r="K59" i="1"/>
  <c r="P39" i="1"/>
  <c r="P19" i="1"/>
  <c r="K19" i="1"/>
  <c r="D7" i="1" s="1"/>
  <c r="E7" i="1" s="1"/>
  <c r="P59" i="1"/>
  <c r="D13" i="2" l="1"/>
  <c r="E13" i="2" s="1"/>
  <c r="D16" i="2"/>
  <c r="E16" i="2" s="1"/>
  <c r="B7" i="5"/>
  <c r="B8" i="5" s="1"/>
  <c r="E7" i="5"/>
  <c r="E8" i="5" s="1"/>
  <c r="C7" i="5"/>
  <c r="C8" i="5" s="1"/>
  <c r="D7" i="5"/>
  <c r="D8" i="5" s="1"/>
  <c r="D17" i="1"/>
  <c r="E17" i="1" s="1"/>
  <c r="D14" i="1"/>
  <c r="E14" i="1" s="1"/>
  <c r="D16" i="1"/>
  <c r="E16" i="1" s="1"/>
  <c r="D13" i="1"/>
  <c r="E13" i="1" s="1"/>
  <c r="D8" i="1"/>
  <c r="E8" i="1" s="1"/>
  <c r="D11" i="1"/>
  <c r="E11" i="1" s="1"/>
  <c r="E19" i="4"/>
  <c r="E2" i="5" s="1"/>
  <c r="E4" i="5" s="1"/>
  <c r="E19" i="2" l="1"/>
  <c r="C2" i="5" s="1"/>
  <c r="C4" i="5" s="1"/>
  <c r="E19" i="3"/>
  <c r="D2" i="5" s="1"/>
  <c r="D4" i="5" s="1"/>
  <c r="E19" i="1" l="1"/>
  <c r="B2" i="5" s="1"/>
  <c r="B4" i="5" l="1"/>
  <c r="D9" i="5"/>
  <c r="C9" i="5"/>
  <c r="E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tc={D5AF40E9-56E7-45EF-B520-F2993C2D9BF1}</author>
    <author>tc={0ED4403D-1819-4DAE-A0D9-91031C45092D}</author>
    <author>tc={771AA334-F3F5-4EEF-B31A-C526048EFDEC}</author>
    <author>tc={6AEB3D6A-79C9-4467-BFFD-B2E243A0FEC3}</author>
  </authors>
  <commentList>
    <comment ref="J8" authorId="0" shapeId="0" xr:uid="{D5AF40E9-56E7-45EF-B520-F2993C2D9BF1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yield by 18%</t>
      </text>
    </comment>
    <comment ref="O8" authorId="1" shapeId="0" xr:uid="{0ED4403D-1819-4DAE-A0D9-91031C45092D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yield by 10%</t>
      </text>
    </comment>
    <comment ref="M13" authorId="2" shapeId="0" xr:uid="{771AA334-F3F5-4EEF-B31A-C526048EFDEC}">
      <text>
        <t>[Threaded comment]
Your version of Excel allows you to read this threaded comment; however, any edits to it will get removed if the file is opened in a newer version of Excel. Learn more: https://go.microsoft.com/fwlink/?linkid=870924
Comment:
    $5,000 end gun amortized over 20 years at 6%</t>
      </text>
    </comment>
    <comment ref="R13" authorId="3" shapeId="0" xr:uid="{6AEB3D6A-79C9-4467-BFFD-B2E243A0FEC3}">
      <text>
        <t>[Threaded comment]
Your version of Excel allows you to read this threaded comment; however, any edits to it will get removed if the file is opened in a newer version of Excel. Learn more: https://go.microsoft.com/fwlink/?linkid=870924
Comment:
    $75,000 cost at 6% over 20 years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tc={819B206C-FC45-4AF6-921D-0D2FB50C85CC}</author>
  </authors>
  <commentList>
    <comment ref="R13" authorId="0" shapeId="0" xr:uid="{819B206C-FC45-4AF6-921D-0D2FB50C85CC}">
      <text>
        <t>[Threaded comment]
Your version of Excel allows you to read this threaded comment; however, any edits to it will get removed if the file is opened in a newer version of Excel. Learn more: https://go.microsoft.com/fwlink/?linkid=870924
Comment:
    Farmer share is $50 per acre over 15 years at 6%.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tc={E90B59F8-1DA6-46AC-81CC-B4500D884703}</author>
  </authors>
  <commentList>
    <comment ref="R13" authorId="0" shapeId="0" xr:uid="{E90B59F8-1DA6-46AC-81CC-B4500D884703}">
      <text>
        <t>[Threaded comment]
Your version of Excel allows you to read this threaded comment; however, any edits to it will get removed if the file is opened in a newer version of Excel. Learn more: https://go.microsoft.com/fwlink/?linkid=870924
Comment:
    Farmer share is $50 per acre over 15 years at 6%.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tc={7F561A10-7E52-409B-8B3B-6E76343AE022}</author>
  </authors>
  <commentList>
    <comment ref="W13" authorId="0" shapeId="0" xr:uid="{7F561A10-7E52-409B-8B3B-6E76343AE022}">
      <text>
        <t>[Threaded comment]
Your version of Excel allows you to read this threaded comment; however, any edits to it will get removed if the file is opened in a newer version of Excel. Learn more: https://go.microsoft.com/fwlink/?linkid=870924
Comment:
    Farmer share is $50 per acre over 15 years at 6%.</t>
      </text>
    </comment>
  </commentList>
</comments>
</file>

<file path=xl/sharedStrings.xml><?xml version="1.0" encoding="utf-8"?>
<sst xmlns="http://schemas.openxmlformats.org/spreadsheetml/2006/main" count="775" uniqueCount="102">
  <si>
    <t>Year</t>
  </si>
  <si>
    <t>Crop</t>
  </si>
  <si>
    <t>Acres</t>
  </si>
  <si>
    <t>Potatoes - pivot</t>
  </si>
  <si>
    <t>Potatoes - solid set</t>
  </si>
  <si>
    <t>Potatoes - end gun</t>
  </si>
  <si>
    <t>Sugarbeets - pivot</t>
  </si>
  <si>
    <t>Sugarbeets - end gun</t>
  </si>
  <si>
    <t>Sugarbeets - solid set</t>
  </si>
  <si>
    <t>SWW Wheat - pivot</t>
  </si>
  <si>
    <t>per Acre</t>
  </si>
  <si>
    <t>Total</t>
  </si>
  <si>
    <t>Base: Potatoes - pivot</t>
  </si>
  <si>
    <t>Positive Impacts</t>
  </si>
  <si>
    <t>Negative Impacts</t>
  </si>
  <si>
    <t>Revenue</t>
  </si>
  <si>
    <t>Amount</t>
  </si>
  <si>
    <t>Additional Revenue</t>
  </si>
  <si>
    <t>Reduced Revenue</t>
  </si>
  <si>
    <t>Reduced Costs</t>
  </si>
  <si>
    <t>Additional Costs</t>
  </si>
  <si>
    <t>Total Positive Impacts</t>
  </si>
  <si>
    <t>Total Negative Impacts</t>
  </si>
  <si>
    <t>Impacted Costs</t>
  </si>
  <si>
    <t>Irrigation Repairs</t>
  </si>
  <si>
    <t>Irrigation Power</t>
  </si>
  <si>
    <t>Irrigation Labor</t>
  </si>
  <si>
    <t>Gross Margin per Acre</t>
  </si>
  <si>
    <t>Gross Revenue</t>
  </si>
  <si>
    <t>Base: Sugarbeets - pivot</t>
  </si>
  <si>
    <t>Base: SWW Wheat - pivot</t>
  </si>
  <si>
    <t>SWW Wheat - end gun</t>
  </si>
  <si>
    <t>SWW Wheat - solid set</t>
  </si>
  <si>
    <t>Yield per Acre (cwt)</t>
  </si>
  <si>
    <t>Price per cwt</t>
  </si>
  <si>
    <t>Yield per Acre (ton)</t>
  </si>
  <si>
    <t>Price per ton</t>
  </si>
  <si>
    <t>Yield per Acre (bu)</t>
  </si>
  <si>
    <t>Price per bu</t>
  </si>
  <si>
    <t>Partial Budget: Potatoes - end gun 11.5 acres</t>
  </si>
  <si>
    <t>Partial Budget: Sugarbeets - end gun 11.5 acres</t>
  </si>
  <si>
    <t>Partial Budget: SWW Wheat - end gun 11.5 acres</t>
  </si>
  <si>
    <t>Partial Budget: Potatoes - solid set corners 26.5 acres</t>
  </si>
  <si>
    <t>Partial Budget: Sugarbeets - solid set corners 26.5 acres</t>
  </si>
  <si>
    <t>Partial Budget: SWW Wheat - solid set corners 26.5 acres</t>
  </si>
  <si>
    <t>Scenario 1: Pivot with end gun and solid set corners</t>
  </si>
  <si>
    <t>Acres in CREP: 0</t>
  </si>
  <si>
    <t>Acres in CREP: 26.5</t>
  </si>
  <si>
    <t>Acres in CREP: 38</t>
  </si>
  <si>
    <t>End gun &amp; booster pump</t>
  </si>
  <si>
    <t>345 cwt x $7.50</t>
  </si>
  <si>
    <t>Irrigation power</t>
  </si>
  <si>
    <t>Irrigation repairs</t>
  </si>
  <si>
    <t>Solid set pipe</t>
  </si>
  <si>
    <t>34 ton x $39.50</t>
  </si>
  <si>
    <t>103 bu x $3.70</t>
  </si>
  <si>
    <t>CREP - Groundwater users</t>
  </si>
  <si>
    <t>Grass establishment</t>
  </si>
  <si>
    <t>Scenario 3: Pivot with full corners in CREP</t>
  </si>
  <si>
    <t>Partial Budget: Potatoes - corners in CREP 26.5 acres</t>
  </si>
  <si>
    <t>Partial Budget: Sugarbeets - corners in CREP 26.5 acres</t>
  </si>
  <si>
    <t>Partial Budget: SWW Wheat - corners in CREP 26.5 acres</t>
  </si>
  <si>
    <t>Scenario 4: LESA pivot with full corners in CREP</t>
  </si>
  <si>
    <t>Partial Budget: Potatoes - LESA pivot 122 acres</t>
  </si>
  <si>
    <t>Partial Budget: Sugarbeets - LESA pivot 122 acres</t>
  </si>
  <si>
    <t>Partial Budget: SWW Wheat - LESA pivot 122 acres</t>
  </si>
  <si>
    <t>Potatoes - LESA pivot</t>
  </si>
  <si>
    <t>Sugarbeets - LESA pivot</t>
  </si>
  <si>
    <t>SWW Wheat - LESA pivot</t>
  </si>
  <si>
    <t>Irrigation labor</t>
  </si>
  <si>
    <t>LESA upgrage</t>
  </si>
  <si>
    <t>Pump rework &amp; filter</t>
  </si>
  <si>
    <t>Potatoes - end gun in CREP</t>
  </si>
  <si>
    <t>Potatoes - solid set in CREP</t>
  </si>
  <si>
    <t>Sugarbeets - end gun in CREP</t>
  </si>
  <si>
    <t>Sugarbeets - solid set in CREP</t>
  </si>
  <si>
    <t>SWW Wheat - end gun in CREP</t>
  </si>
  <si>
    <t>SWW Wheat - solid set in CREP</t>
  </si>
  <si>
    <t>SWW Wheat - end gun in  CREP</t>
  </si>
  <si>
    <t>Scenario 2: Pivot with end gun, corners in CREP</t>
  </si>
  <si>
    <t xml:space="preserve">Irrigation power </t>
  </si>
  <si>
    <t>Operating costs</t>
  </si>
  <si>
    <t>Water Use</t>
  </si>
  <si>
    <t>(acre-inches)</t>
  </si>
  <si>
    <t>378 cwt x $7.50</t>
  </si>
  <si>
    <t>37 ton x $39.50</t>
  </si>
  <si>
    <t>112 bu x $3.70</t>
  </si>
  <si>
    <t>Total Water (acre-feet)</t>
  </si>
  <si>
    <t xml:space="preserve">CREP </t>
  </si>
  <si>
    <t>CREP</t>
  </si>
  <si>
    <t>Gross Margin</t>
  </si>
  <si>
    <t>Change in Gross Margin</t>
  </si>
  <si>
    <t>Total Gross Margin</t>
  </si>
  <si>
    <t>Water Use (acre ft)</t>
  </si>
  <si>
    <t>Water Savings Compared to Scenario 1</t>
  </si>
  <si>
    <t>% Water Savings</t>
  </si>
  <si>
    <t>Cost per Acre Foot</t>
  </si>
  <si>
    <t>CREP Payment</t>
  </si>
  <si>
    <t>Gross Margin from Farming</t>
  </si>
  <si>
    <t>Operating Money Required</t>
  </si>
  <si>
    <t>Operating Cost per Acre</t>
  </si>
  <si>
    <t>Total Cost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</si>
</sst>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0.0"/>
    <numFmt numFmtId="166" formatCode="&quot;$&quot;#,##0.00"/>
    <numFmt numFmtId="167" formatCode="_(* #,##0_);_(* \(#,##0\);_(* &quot;-&quot;??_);_(@_)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6600"/>
      <name val="Arial"/>
      <family val="2"/>
    </font>
    <font>
      <sz val="12"/>
      <color rgb="FF0066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2"/>
      <color rgb="FF0000CC"/>
      <name val="Arial"/>
      <family val="2"/>
    </font>
    <font>
      <b/>
      <sz val="12"/>
      <color rgb="FF0000CC"/>
      <name val="Arial"/>
      <family val="2"/>
    </font>
    <font>
      <b/>
      <sz val="16"/>
      <color rgb="FF0000CC"/>
      <name val="Arial"/>
      <family val="2"/>
    </font>
    <font>
      <b/>
      <sz val="16"/>
      <color rgb="FFC00000"/>
      <name val="Arial"/>
      <family val="2"/>
    </font>
    <font>
      <u/>
      <sz val="12"/>
      <color rgb="FF0000C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3" fillId="0" borderId="0" xfId="0" applyFont="1"/>
    <xf numFmtId="0" fontId="6" fillId="0" borderId="3" xfId="0" applyFont="1" applyBorder="1"/>
    <xf numFmtId="0" fontId="6" fillId="0" borderId="4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0" applyNumberFormat="1" applyFont="1"/>
    <xf numFmtId="164" fontId="3" fillId="0" borderId="0" xfId="0" applyNumberFormat="1" applyFont="1"/>
    <xf numFmtId="164" fontId="2" fillId="0" borderId="9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7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166" fontId="8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0" applyNumberFormat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2" fillId="3" borderId="0" xfId="0" applyNumberFormat="1" applyFont="1" applyFill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5" fillId="0" borderId="10" xfId="0" applyFont="1" applyBorder="1"/>
    <xf numFmtId="0" fontId="5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/>
    <xf numFmtId="3" fontId="2" fillId="3" borderId="0" xfId="0" applyNumberFormat="1" applyFont="1" applyFill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0" fillId="0" borderId="2" xfId="1" applyNumberFormat="1" applyFont="1" applyFill="1" applyBorder="1" applyAlignment="1">
      <alignment horizontal="center"/>
    </xf>
    <xf numFmtId="166" fontId="0" fillId="0" borderId="2" xfId="0" applyNumberForma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9" fontId="2" fillId="0" borderId="12" xfId="2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4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166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164" fontId="4" fillId="0" borderId="6" xfId="0" applyNumberFormat="1" applyFont="1" applyBorder="1" applyProtection="1">
      <protection locked="0"/>
    </xf>
    <xf numFmtId="0" fontId="4" fillId="0" borderId="7" xfId="0" applyFont="1" applyBorder="1" applyProtection="1">
      <protection locked="0"/>
    </xf>
    <xf numFmtId="164" fontId="4" fillId="0" borderId="8" xfId="0" applyNumberFormat="1" applyFont="1" applyBorder="1" applyProtection="1">
      <protection locked="0"/>
    </xf>
    <xf numFmtId="0" fontId="6" fillId="0" borderId="5" xfId="0" applyFont="1" applyBorder="1" applyProtection="1">
      <protection locked="0"/>
    </xf>
    <xf numFmtId="164" fontId="6" fillId="0" borderId="6" xfId="0" applyNumberFormat="1" applyFont="1" applyBorder="1" applyProtection="1">
      <protection locked="0"/>
    </xf>
    <xf numFmtId="0" fontId="6" fillId="0" borderId="5" xfId="0" applyFont="1" applyFill="1" applyBorder="1" applyProtection="1">
      <protection locked="0"/>
    </xf>
    <xf numFmtId="164" fontId="6" fillId="0" borderId="6" xfId="0" applyNumberFormat="1" applyFont="1" applyFill="1" applyBorder="1" applyProtection="1">
      <protection locked="0"/>
    </xf>
    <xf numFmtId="0" fontId="6" fillId="0" borderId="7" xfId="0" applyFont="1" applyBorder="1" applyProtection="1">
      <protection locked="0"/>
    </xf>
    <xf numFmtId="164" fontId="6" fillId="0" borderId="8" xfId="0" applyNumberFormat="1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165" fontId="0" fillId="0" borderId="2" xfId="0" applyNumberForma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8" fontId="7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3" borderId="0" xfId="0" applyFont="1" applyFill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  <color rgb="FFFF00FF"/>
      <color rgb="FF0000CC"/>
      <color rgb="FF0066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born, Benjamin (beborn@uidaho.edu)" id="{BFA5CB83-07DD-49D2-9FCE-AB33C465AF81}" userId="S::beborn@uidaho.edu::a95e50f1-9bf4-471b-b71e-f62fac5808c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" dT="2020-01-28T21:31:24.69" personId="{BFA5CB83-07DD-49D2-9FCE-AB33C465AF81}" id="{D5AF40E9-56E7-45EF-B520-F2993C2D9BF1}">
    <text>Reduced yield by 18%</text>
  </threadedComment>
  <threadedComment ref="O8" dT="2020-01-28T21:31:43.77" personId="{BFA5CB83-07DD-49D2-9FCE-AB33C465AF81}" id="{0ED4403D-1819-4DAE-A0D9-91031C45092D}">
    <text>Reduced yield by 10%</text>
  </threadedComment>
  <threadedComment ref="M13" dT="2020-01-28T21:32:11.11" personId="{BFA5CB83-07DD-49D2-9FCE-AB33C465AF81}" id="{771AA334-F3F5-4EEF-B31A-C526048EFDEC}">
    <text>$5,000 end gun amortized over 20 years at 6%</text>
  </threadedComment>
  <threadedComment ref="R13" dT="2019-10-15T18:58:15.90" personId="{BFA5CB83-07DD-49D2-9FCE-AB33C465AF81}" id="{6AEB3D6A-79C9-4467-BFFD-B2E243A0FEC3}">
    <text>$75,000 cost at 6% over 20 years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R13" dT="2019-10-15T19:18:44.82" personId="{BFA5CB83-07DD-49D2-9FCE-AB33C465AF81}" id="{819B206C-FC45-4AF6-921D-0D2FB50C85CC}">
    <text>Farmer share is $50 per acre over 15 years at 6%.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R13" dT="2019-10-15T19:18:44.82" personId="{BFA5CB83-07DD-49D2-9FCE-AB33C465AF81}" id="{E90B59F8-1DA6-46AC-81CC-B4500D884703}">
    <text>Farmer share is $50 per acre over 15 years at 6%.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W13" dT="2019-10-15T19:18:44.82" personId="{BFA5CB83-07DD-49D2-9FCE-AB33C465AF81}" id="{7F561A10-7E52-409B-8B3B-6E76343AE022}">
    <text>Farmer share is $50 per acre over 15 years at 6%.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6EFC-9EFC-4566-89E7-CB7C42CB5FBA}">
  <sheetPr>
    <tabColor rgb="FF990000"/>
  </sheetPr>
  <dimension ref="A1:R60"/>
  <sheetViews>
    <sheetView tabSelected="1" topLeftCell="A42" workbookViewId="0">
      <selection activeCell="G53" sqref="G53"/>
    </sheetView>
  </sheetViews>
  <sheetFormatPr defaultRowHeight="15" x14ac:dyDescent="0.25"/>
  <cols>
    <col min="1" max="1" width="9.08984375" customWidth="1"/>
    <col min="2" max="2" width="27.26953125" customWidth="1"/>
    <col min="3" max="3" width="9.08984375" customWidth="1"/>
    <col min="4" max="5" width="12.26953125" customWidth="1"/>
    <col min="6" max="6" width="2.26953125" customWidth="1"/>
    <col min="7" max="7" width="20.453125" style="11" customWidth="1"/>
    <col min="8" max="8" width="18.1796875" style="11" customWidth="1"/>
    <col min="9" max="9" width="2.26953125" customWidth="1"/>
    <col min="10" max="10" width="22.7265625" customWidth="1"/>
    <col min="11" max="11" width="11.36328125" customWidth="1"/>
    <col min="12" max="12" width="20.453125" customWidth="1"/>
    <col min="13" max="13" width="11.36328125" customWidth="1"/>
    <col min="14" max="14" width="2.26953125" customWidth="1"/>
    <col min="15" max="15" width="22.7265625" customWidth="1"/>
    <col min="16" max="16" width="11.36328125" customWidth="1"/>
    <col min="17" max="17" width="20.453125" customWidth="1"/>
    <col min="18" max="18" width="11.36328125" customWidth="1"/>
  </cols>
  <sheetData>
    <row r="1" spans="1:18" ht="21" x14ac:dyDescent="0.4">
      <c r="A1" s="92" t="s">
        <v>45</v>
      </c>
      <c r="B1" s="92"/>
      <c r="C1" s="92"/>
      <c r="D1" s="92"/>
      <c r="E1" s="92"/>
      <c r="F1" s="22"/>
      <c r="I1" s="22"/>
      <c r="N1" s="22"/>
    </row>
    <row r="2" spans="1:18" ht="21" x14ac:dyDescent="0.4">
      <c r="A2" s="93" t="s">
        <v>46</v>
      </c>
      <c r="B2" s="93"/>
      <c r="C2" s="93"/>
      <c r="D2" s="93"/>
      <c r="E2" s="93"/>
      <c r="F2" s="22"/>
      <c r="I2" s="22"/>
      <c r="N2" s="22"/>
    </row>
    <row r="3" spans="1:18" ht="15.6" x14ac:dyDescent="0.3">
      <c r="A3" s="1"/>
      <c r="D3" s="2"/>
      <c r="E3" s="2"/>
      <c r="F3" s="22"/>
      <c r="G3" s="94" t="s">
        <v>12</v>
      </c>
      <c r="H3" s="94"/>
      <c r="I3" s="87"/>
      <c r="J3" s="95" t="s">
        <v>39</v>
      </c>
      <c r="K3" s="95"/>
      <c r="L3" s="95"/>
      <c r="M3" s="95"/>
      <c r="N3" s="87"/>
      <c r="O3" s="95" t="s">
        <v>42</v>
      </c>
      <c r="P3" s="95"/>
      <c r="Q3" s="95"/>
      <c r="R3" s="95"/>
    </row>
    <row r="4" spans="1:18" ht="15.6" x14ac:dyDescent="0.3">
      <c r="D4" s="2" t="s">
        <v>90</v>
      </c>
      <c r="E4" s="2" t="s">
        <v>11</v>
      </c>
      <c r="F4" s="22"/>
      <c r="G4" s="12"/>
      <c r="H4" s="12"/>
      <c r="I4" s="22"/>
      <c r="J4" s="2"/>
      <c r="N4" s="22"/>
      <c r="O4" s="2"/>
    </row>
    <row r="5" spans="1:18" s="2" customFormat="1" ht="16.2" thickBot="1" x14ac:dyDescent="0.35">
      <c r="A5" s="3" t="s">
        <v>0</v>
      </c>
      <c r="B5" s="3" t="s">
        <v>1</v>
      </c>
      <c r="C5" s="3" t="s">
        <v>2</v>
      </c>
      <c r="D5" s="3" t="s">
        <v>10</v>
      </c>
      <c r="E5" s="3" t="s">
        <v>90</v>
      </c>
      <c r="F5" s="23"/>
      <c r="G5" s="13"/>
      <c r="H5" s="13"/>
      <c r="I5" s="23"/>
      <c r="J5" s="90" t="s">
        <v>13</v>
      </c>
      <c r="K5" s="90"/>
      <c r="L5" s="91" t="s">
        <v>14</v>
      </c>
      <c r="M5" s="91"/>
      <c r="N5" s="23"/>
      <c r="O5" s="90" t="s">
        <v>13</v>
      </c>
      <c r="P5" s="90"/>
      <c r="Q5" s="91" t="s">
        <v>14</v>
      </c>
      <c r="R5" s="91"/>
    </row>
    <row r="6" spans="1:18" x14ac:dyDescent="0.25">
      <c r="A6" s="4">
        <v>1</v>
      </c>
      <c r="B6" s="76" t="s">
        <v>3</v>
      </c>
      <c r="C6" s="77">
        <v>122</v>
      </c>
      <c r="D6" s="28">
        <f>H19</f>
        <v>1297.95</v>
      </c>
      <c r="E6" s="28">
        <f t="shared" ref="E6:E17" si="0">C6*D6</f>
        <v>158349.9</v>
      </c>
      <c r="F6" s="22"/>
      <c r="I6" s="22"/>
      <c r="J6" s="5"/>
      <c r="K6" s="6"/>
      <c r="L6" s="8"/>
      <c r="M6" s="9"/>
      <c r="N6" s="22"/>
      <c r="O6" s="5"/>
      <c r="P6" s="6"/>
      <c r="Q6" s="8"/>
      <c r="R6" s="9"/>
    </row>
    <row r="7" spans="1:18" ht="15.6" x14ac:dyDescent="0.3">
      <c r="A7" s="4">
        <v>1</v>
      </c>
      <c r="B7" s="76" t="s">
        <v>5</v>
      </c>
      <c r="C7" s="77">
        <v>11.5</v>
      </c>
      <c r="D7" s="28">
        <f>K19/C7</f>
        <v>698.05869565217381</v>
      </c>
      <c r="E7" s="28">
        <f t="shared" si="0"/>
        <v>8027.6749999999993</v>
      </c>
      <c r="F7" s="22"/>
      <c r="G7" s="20" t="s">
        <v>15</v>
      </c>
      <c r="H7" s="36"/>
      <c r="I7" s="22"/>
      <c r="J7" s="32" t="s">
        <v>17</v>
      </c>
      <c r="K7" s="33" t="s">
        <v>16</v>
      </c>
      <c r="L7" s="34" t="s">
        <v>18</v>
      </c>
      <c r="M7" s="35" t="s">
        <v>16</v>
      </c>
      <c r="N7" s="22"/>
      <c r="O7" s="32" t="s">
        <v>17</v>
      </c>
      <c r="P7" s="33" t="s">
        <v>16</v>
      </c>
      <c r="Q7" s="34" t="s">
        <v>18</v>
      </c>
      <c r="R7" s="35" t="s">
        <v>16</v>
      </c>
    </row>
    <row r="8" spans="1:18" x14ac:dyDescent="0.25">
      <c r="A8" s="25">
        <v>1</v>
      </c>
      <c r="B8" s="78" t="s">
        <v>4</v>
      </c>
      <c r="C8" s="79">
        <v>26.5</v>
      </c>
      <c r="D8" s="29">
        <f>P19/C8</f>
        <v>739.5537735849058</v>
      </c>
      <c r="E8" s="29">
        <f t="shared" si="0"/>
        <v>19598.175000000003</v>
      </c>
      <c r="F8" s="22"/>
      <c r="G8" s="59" t="s">
        <v>33</v>
      </c>
      <c r="H8" s="58">
        <v>420</v>
      </c>
      <c r="I8" s="22"/>
      <c r="J8" s="62" t="s">
        <v>50</v>
      </c>
      <c r="K8" s="63">
        <f>345*7.5*11.5</f>
        <v>29756.25</v>
      </c>
      <c r="L8" s="66"/>
      <c r="M8" s="67"/>
      <c r="N8" s="22"/>
      <c r="O8" s="62" t="s">
        <v>84</v>
      </c>
      <c r="P8" s="63">
        <f>378*7.5*26.5</f>
        <v>75127.5</v>
      </c>
      <c r="Q8" s="66"/>
      <c r="R8" s="67"/>
    </row>
    <row r="9" spans="1:18" x14ac:dyDescent="0.25">
      <c r="A9" s="4">
        <v>2</v>
      </c>
      <c r="B9" s="76" t="s">
        <v>6</v>
      </c>
      <c r="C9" s="77">
        <v>122</v>
      </c>
      <c r="D9" s="28">
        <f>H39</f>
        <v>707.56</v>
      </c>
      <c r="E9" s="28">
        <f t="shared" si="0"/>
        <v>86322.319999999992</v>
      </c>
      <c r="F9" s="22"/>
      <c r="G9" s="59" t="s">
        <v>34</v>
      </c>
      <c r="H9" s="56">
        <v>7.5</v>
      </c>
      <c r="I9" s="22"/>
      <c r="J9" s="62"/>
      <c r="K9" s="63"/>
      <c r="L9" s="66"/>
      <c r="M9" s="67"/>
      <c r="N9" s="22"/>
      <c r="O9" s="62"/>
      <c r="P9" s="63"/>
      <c r="Q9" s="66"/>
      <c r="R9" s="67"/>
    </row>
    <row r="10" spans="1:18" x14ac:dyDescent="0.25">
      <c r="A10" s="4">
        <v>2</v>
      </c>
      <c r="B10" s="76" t="s">
        <v>7</v>
      </c>
      <c r="C10" s="77">
        <v>11.5</v>
      </c>
      <c r="D10" s="28">
        <f>K39/C10</f>
        <v>393.66869565217382</v>
      </c>
      <c r="E10" s="28">
        <f t="shared" si="0"/>
        <v>4527.1899999999987</v>
      </c>
      <c r="F10" s="22"/>
      <c r="G10" s="59" t="s">
        <v>28</v>
      </c>
      <c r="H10" s="56">
        <f>H8*H9</f>
        <v>3150</v>
      </c>
      <c r="I10" s="22"/>
      <c r="J10" s="62"/>
      <c r="K10" s="63"/>
      <c r="L10" s="66"/>
      <c r="M10" s="67"/>
      <c r="N10" s="22"/>
      <c r="O10" s="62"/>
      <c r="P10" s="63"/>
      <c r="Q10" s="66"/>
      <c r="R10" s="67"/>
    </row>
    <row r="11" spans="1:18" x14ac:dyDescent="0.25">
      <c r="A11" s="25">
        <v>2</v>
      </c>
      <c r="B11" s="78" t="s">
        <v>8</v>
      </c>
      <c r="C11" s="79">
        <v>26.5</v>
      </c>
      <c r="D11" s="29">
        <f>P19/C11</f>
        <v>739.5537735849058</v>
      </c>
      <c r="E11" s="29">
        <f t="shared" si="0"/>
        <v>19598.175000000003</v>
      </c>
      <c r="F11" s="22"/>
      <c r="G11" s="60"/>
      <c r="H11" s="58"/>
      <c r="I11" s="22"/>
      <c r="J11" s="62"/>
      <c r="K11" s="63"/>
      <c r="L11" s="66"/>
      <c r="M11" s="67"/>
      <c r="N11" s="22"/>
      <c r="O11" s="62"/>
      <c r="P11" s="63"/>
      <c r="Q11" s="66"/>
      <c r="R11" s="67"/>
    </row>
    <row r="12" spans="1:18" ht="15.6" x14ac:dyDescent="0.3">
      <c r="A12" s="4">
        <v>3</v>
      </c>
      <c r="B12" s="76" t="s">
        <v>9</v>
      </c>
      <c r="C12" s="77">
        <v>122</v>
      </c>
      <c r="D12" s="28">
        <f>H59</f>
        <v>126.83</v>
      </c>
      <c r="E12" s="28">
        <f t="shared" si="0"/>
        <v>15473.26</v>
      </c>
      <c r="F12" s="22"/>
      <c r="G12" s="19" t="s">
        <v>23</v>
      </c>
      <c r="H12" s="37"/>
      <c r="I12" s="22"/>
      <c r="J12" s="32" t="s">
        <v>19</v>
      </c>
      <c r="K12" s="33" t="s">
        <v>16</v>
      </c>
      <c r="L12" s="34" t="s">
        <v>20</v>
      </c>
      <c r="M12" s="35" t="s">
        <v>16</v>
      </c>
      <c r="N12" s="22"/>
      <c r="O12" s="32" t="s">
        <v>19</v>
      </c>
      <c r="P12" s="33" t="s">
        <v>16</v>
      </c>
      <c r="Q12" s="34" t="s">
        <v>20</v>
      </c>
      <c r="R12" s="35" t="s">
        <v>16</v>
      </c>
    </row>
    <row r="13" spans="1:18" x14ac:dyDescent="0.25">
      <c r="A13" s="26">
        <v>3</v>
      </c>
      <c r="B13" s="80" t="s">
        <v>31</v>
      </c>
      <c r="C13" s="81">
        <v>11.5</v>
      </c>
      <c r="D13" s="30">
        <f>K59/C13</f>
        <v>8.038695652173967</v>
      </c>
      <c r="E13" s="28">
        <f t="shared" si="0"/>
        <v>92.445000000000618</v>
      </c>
      <c r="F13" s="22"/>
      <c r="G13" s="60" t="s">
        <v>25</v>
      </c>
      <c r="H13" s="57">
        <v>49.47</v>
      </c>
      <c r="I13" s="22"/>
      <c r="J13" s="62"/>
      <c r="K13" s="63"/>
      <c r="L13" s="68" t="s">
        <v>49</v>
      </c>
      <c r="M13" s="69">
        <v>430</v>
      </c>
      <c r="N13" s="22"/>
      <c r="O13" s="62"/>
      <c r="P13" s="63"/>
      <c r="Q13" s="68" t="s">
        <v>53</v>
      </c>
      <c r="R13" s="69">
        <v>6450</v>
      </c>
    </row>
    <row r="14" spans="1:18" x14ac:dyDescent="0.25">
      <c r="A14" s="25">
        <v>3</v>
      </c>
      <c r="B14" s="78" t="s">
        <v>32</v>
      </c>
      <c r="C14" s="79">
        <v>26.5</v>
      </c>
      <c r="D14" s="29">
        <f>P59/C14</f>
        <v>-164.66622641509437</v>
      </c>
      <c r="E14" s="29">
        <f t="shared" si="0"/>
        <v>-4363.6550000000007</v>
      </c>
      <c r="F14" s="22"/>
      <c r="G14" s="60" t="s">
        <v>26</v>
      </c>
      <c r="H14" s="57">
        <v>20.09</v>
      </c>
      <c r="I14" s="22"/>
      <c r="J14" s="62"/>
      <c r="K14" s="63"/>
      <c r="L14" s="68" t="s">
        <v>81</v>
      </c>
      <c r="M14" s="69">
        <f>H17*11.5</f>
        <v>21298.575000000001</v>
      </c>
      <c r="N14" s="22"/>
      <c r="O14" s="62"/>
      <c r="P14" s="63"/>
      <c r="Q14" s="68" t="s">
        <v>81</v>
      </c>
      <c r="R14" s="69">
        <f>H17*26.5</f>
        <v>49079.324999999997</v>
      </c>
    </row>
    <row r="15" spans="1:18" x14ac:dyDescent="0.25">
      <c r="A15" s="4">
        <v>4</v>
      </c>
      <c r="B15" s="76" t="s">
        <v>9</v>
      </c>
      <c r="C15" s="77">
        <v>122</v>
      </c>
      <c r="D15" s="28">
        <f>H59</f>
        <v>126.83</v>
      </c>
      <c r="E15" s="28">
        <f t="shared" si="0"/>
        <v>15473.26</v>
      </c>
      <c r="F15" s="22"/>
      <c r="G15" s="60" t="s">
        <v>24</v>
      </c>
      <c r="H15" s="57">
        <v>13.52</v>
      </c>
      <c r="I15" s="22"/>
      <c r="J15" s="62"/>
      <c r="K15" s="63"/>
      <c r="L15" s="68"/>
      <c r="M15" s="69"/>
      <c r="N15" s="22"/>
      <c r="O15" s="62"/>
      <c r="P15" s="63"/>
      <c r="Q15" s="68"/>
      <c r="R15" s="69"/>
    </row>
    <row r="16" spans="1:18" ht="15.6" thickBot="1" x14ac:dyDescent="0.3">
      <c r="A16" s="4">
        <v>4</v>
      </c>
      <c r="B16" s="76" t="s">
        <v>31</v>
      </c>
      <c r="C16" s="77">
        <v>11.5</v>
      </c>
      <c r="D16" s="28">
        <f>K59/C16</f>
        <v>8.038695652173967</v>
      </c>
      <c r="E16" s="28">
        <f t="shared" si="0"/>
        <v>92.445000000000618</v>
      </c>
      <c r="F16" s="22"/>
      <c r="G16" s="61"/>
      <c r="H16" s="61"/>
      <c r="I16" s="22"/>
      <c r="J16" s="64"/>
      <c r="K16" s="65"/>
      <c r="L16" s="70"/>
      <c r="M16" s="71"/>
      <c r="N16" s="22"/>
      <c r="O16" s="64"/>
      <c r="P16" s="65"/>
      <c r="Q16" s="70"/>
      <c r="R16" s="71"/>
    </row>
    <row r="17" spans="1:18" ht="15.6" x14ac:dyDescent="0.3">
      <c r="A17" s="25">
        <v>4</v>
      </c>
      <c r="B17" s="78" t="s">
        <v>32</v>
      </c>
      <c r="C17" s="79">
        <v>26.5</v>
      </c>
      <c r="D17" s="29">
        <f>P59/C17</f>
        <v>-164.66622641509437</v>
      </c>
      <c r="E17" s="29">
        <f t="shared" si="0"/>
        <v>-4363.6550000000007</v>
      </c>
      <c r="F17" s="22"/>
      <c r="G17" s="11" t="s">
        <v>100</v>
      </c>
      <c r="H17" s="56">
        <v>1852.05</v>
      </c>
      <c r="I17" s="22"/>
      <c r="J17" s="7" t="s">
        <v>21</v>
      </c>
      <c r="K17" s="15">
        <f>SUM(K8:K11,K13:K16)</f>
        <v>29756.25</v>
      </c>
      <c r="L17" s="10" t="s">
        <v>22</v>
      </c>
      <c r="M17" s="14">
        <f>SUM(M8:M11,M13:M16)</f>
        <v>21728.575000000001</v>
      </c>
      <c r="N17" s="22"/>
      <c r="O17" s="7" t="s">
        <v>21</v>
      </c>
      <c r="P17" s="15">
        <f>SUM(P8:P11,P13:P16)</f>
        <v>75127.5</v>
      </c>
      <c r="Q17" s="10" t="s">
        <v>22</v>
      </c>
      <c r="R17" s="14">
        <f>SUM(R8:R11,R13:R16)</f>
        <v>55529.324999999997</v>
      </c>
    </row>
    <row r="18" spans="1:18" ht="15.6" x14ac:dyDescent="0.3">
      <c r="F18" s="22"/>
      <c r="G18" s="18"/>
      <c r="H18" s="24"/>
      <c r="I18" s="22"/>
      <c r="N18" s="22"/>
    </row>
    <row r="19" spans="1:18" ht="16.2" thickBot="1" x14ac:dyDescent="0.35">
      <c r="C19" s="89" t="s">
        <v>92</v>
      </c>
      <c r="D19" s="89"/>
      <c r="E19" s="31">
        <f>SUM(E6:E17)</f>
        <v>318827.53499999997</v>
      </c>
      <c r="F19" s="22"/>
      <c r="G19" s="18" t="s">
        <v>27</v>
      </c>
      <c r="H19" s="24">
        <f>H10-H17</f>
        <v>1297.95</v>
      </c>
      <c r="I19" s="22"/>
      <c r="J19" s="1" t="s">
        <v>91</v>
      </c>
      <c r="K19" s="16">
        <f>K17-M17</f>
        <v>8027.6749999999993</v>
      </c>
      <c r="N19" s="22"/>
      <c r="O19" s="1" t="s">
        <v>91</v>
      </c>
      <c r="P19" s="16">
        <f>P17-R17</f>
        <v>19598.175000000003</v>
      </c>
    </row>
    <row r="20" spans="1:18" ht="16.2" thickTop="1" x14ac:dyDescent="0.3">
      <c r="C20" s="39"/>
      <c r="D20" s="39"/>
      <c r="F20" s="22"/>
      <c r="I20" s="22"/>
      <c r="N20" s="22"/>
    </row>
    <row r="21" spans="1:18" ht="15.6" x14ac:dyDescent="0.3">
      <c r="C21" s="39"/>
      <c r="D21" s="39"/>
      <c r="F21" s="22"/>
      <c r="G21" s="21"/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15.6" x14ac:dyDescent="0.3">
      <c r="D22" s="38" t="s">
        <v>82</v>
      </c>
      <c r="E22" s="38" t="s">
        <v>11</v>
      </c>
      <c r="F22" s="22"/>
      <c r="I22" s="22"/>
      <c r="N22" s="22"/>
    </row>
    <row r="23" spans="1:18" ht="15.6" x14ac:dyDescent="0.3">
      <c r="D23" s="38" t="s">
        <v>10</v>
      </c>
      <c r="E23" s="38" t="s">
        <v>82</v>
      </c>
      <c r="F23" s="22"/>
      <c r="G23" s="94" t="s">
        <v>29</v>
      </c>
      <c r="H23" s="94"/>
      <c r="I23" s="87"/>
      <c r="J23" s="95" t="s">
        <v>40</v>
      </c>
      <c r="K23" s="95"/>
      <c r="L23" s="95"/>
      <c r="M23" s="95"/>
      <c r="N23" s="87"/>
      <c r="O23" s="95" t="s">
        <v>43</v>
      </c>
      <c r="P23" s="95"/>
      <c r="Q23" s="95"/>
      <c r="R23" s="95"/>
    </row>
    <row r="24" spans="1:18" ht="16.2" thickBot="1" x14ac:dyDescent="0.35">
      <c r="A24" s="3" t="s">
        <v>0</v>
      </c>
      <c r="B24" s="3" t="s">
        <v>1</v>
      </c>
      <c r="C24" s="3" t="s">
        <v>2</v>
      </c>
      <c r="D24" s="40" t="s">
        <v>83</v>
      </c>
      <c r="E24" s="40" t="s">
        <v>83</v>
      </c>
      <c r="F24" s="22"/>
      <c r="G24" s="12"/>
      <c r="H24" s="12"/>
      <c r="I24" s="22"/>
      <c r="N24" s="22"/>
    </row>
    <row r="25" spans="1:18" ht="16.2" thickBot="1" x14ac:dyDescent="0.35">
      <c r="A25" s="4">
        <v>1</v>
      </c>
      <c r="B25" s="76" t="s">
        <v>3</v>
      </c>
      <c r="C25" s="77">
        <v>122</v>
      </c>
      <c r="D25" s="82">
        <v>30</v>
      </c>
      <c r="E25" s="42">
        <f>D25*C25</f>
        <v>3660</v>
      </c>
      <c r="F25" s="22"/>
      <c r="G25" s="13"/>
      <c r="H25" s="13"/>
      <c r="I25" s="23"/>
      <c r="J25" s="90" t="s">
        <v>13</v>
      </c>
      <c r="K25" s="90"/>
      <c r="L25" s="91" t="s">
        <v>14</v>
      </c>
      <c r="M25" s="91"/>
      <c r="N25" s="23"/>
      <c r="O25" s="90" t="s">
        <v>13</v>
      </c>
      <c r="P25" s="90"/>
      <c r="Q25" s="91" t="s">
        <v>14</v>
      </c>
      <c r="R25" s="91"/>
    </row>
    <row r="26" spans="1:18" x14ac:dyDescent="0.25">
      <c r="A26" s="4">
        <v>1</v>
      </c>
      <c r="B26" s="76" t="s">
        <v>5</v>
      </c>
      <c r="C26" s="77">
        <v>11.5</v>
      </c>
      <c r="D26" s="82">
        <v>34</v>
      </c>
      <c r="E26" s="42">
        <f t="shared" ref="E26:E36" si="1">D26*C26</f>
        <v>391</v>
      </c>
      <c r="F26" s="22"/>
      <c r="I26" s="22"/>
      <c r="J26" s="5"/>
      <c r="K26" s="6"/>
      <c r="L26" s="8"/>
      <c r="M26" s="9"/>
      <c r="N26" s="22"/>
      <c r="O26" s="5"/>
      <c r="P26" s="6"/>
      <c r="Q26" s="8"/>
      <c r="R26" s="9"/>
    </row>
    <row r="27" spans="1:18" ht="15.6" x14ac:dyDescent="0.3">
      <c r="A27" s="25">
        <v>1</v>
      </c>
      <c r="B27" s="78" t="s">
        <v>4</v>
      </c>
      <c r="C27" s="79">
        <v>26.5</v>
      </c>
      <c r="D27" s="83">
        <v>34</v>
      </c>
      <c r="E27" s="43">
        <f t="shared" si="1"/>
        <v>901</v>
      </c>
      <c r="F27" s="22"/>
      <c r="G27" s="20" t="s">
        <v>15</v>
      </c>
      <c r="H27" s="36"/>
      <c r="I27" s="22"/>
      <c r="J27" s="32" t="s">
        <v>17</v>
      </c>
      <c r="K27" s="33" t="s">
        <v>16</v>
      </c>
      <c r="L27" s="34" t="s">
        <v>18</v>
      </c>
      <c r="M27" s="35" t="s">
        <v>16</v>
      </c>
      <c r="N27" s="22"/>
      <c r="O27" s="32" t="s">
        <v>17</v>
      </c>
      <c r="P27" s="33" t="s">
        <v>16</v>
      </c>
      <c r="Q27" s="34" t="s">
        <v>18</v>
      </c>
      <c r="R27" s="35" t="s">
        <v>16</v>
      </c>
    </row>
    <row r="28" spans="1:18" x14ac:dyDescent="0.25">
      <c r="A28" s="4">
        <v>2</v>
      </c>
      <c r="B28" s="76" t="s">
        <v>6</v>
      </c>
      <c r="C28" s="77">
        <v>122</v>
      </c>
      <c r="D28" s="82">
        <v>41.2</v>
      </c>
      <c r="E28" s="42">
        <f t="shared" si="1"/>
        <v>5026.4000000000005</v>
      </c>
      <c r="F28" s="22"/>
      <c r="G28" s="59" t="s">
        <v>35</v>
      </c>
      <c r="H28" s="58">
        <v>41</v>
      </c>
      <c r="I28" s="22"/>
      <c r="J28" s="62" t="s">
        <v>54</v>
      </c>
      <c r="K28" s="63">
        <f>34*39.5*11.5</f>
        <v>15444.5</v>
      </c>
      <c r="L28" s="66"/>
      <c r="M28" s="67"/>
      <c r="N28" s="22"/>
      <c r="O28" s="62" t="s">
        <v>85</v>
      </c>
      <c r="P28" s="63">
        <f>37*39.5*26.5</f>
        <v>38729.75</v>
      </c>
      <c r="Q28" s="66"/>
      <c r="R28" s="67"/>
    </row>
    <row r="29" spans="1:18" x14ac:dyDescent="0.25">
      <c r="A29" s="4">
        <v>2</v>
      </c>
      <c r="B29" s="76" t="s">
        <v>7</v>
      </c>
      <c r="C29" s="77">
        <v>11.5</v>
      </c>
      <c r="D29" s="82">
        <v>46.7</v>
      </c>
      <c r="E29" s="42">
        <f t="shared" si="1"/>
        <v>537.05000000000007</v>
      </c>
      <c r="F29" s="22"/>
      <c r="G29" s="59" t="s">
        <v>36</v>
      </c>
      <c r="H29" s="56">
        <v>39.5</v>
      </c>
      <c r="I29" s="22"/>
      <c r="J29" s="62"/>
      <c r="K29" s="63"/>
      <c r="L29" s="66"/>
      <c r="M29" s="67"/>
      <c r="N29" s="22"/>
      <c r="O29" s="62"/>
      <c r="P29" s="63"/>
      <c r="Q29" s="66"/>
      <c r="R29" s="67"/>
    </row>
    <row r="30" spans="1:18" x14ac:dyDescent="0.25">
      <c r="A30" s="25">
        <v>2</v>
      </c>
      <c r="B30" s="78" t="s">
        <v>8</v>
      </c>
      <c r="C30" s="79">
        <v>26.5</v>
      </c>
      <c r="D30" s="83">
        <v>46.7</v>
      </c>
      <c r="E30" s="43">
        <f t="shared" si="1"/>
        <v>1237.5500000000002</v>
      </c>
      <c r="F30" s="22"/>
      <c r="G30" s="59" t="s">
        <v>28</v>
      </c>
      <c r="H30" s="56">
        <f>H28*H29</f>
        <v>1619.5</v>
      </c>
      <c r="I30" s="22"/>
      <c r="J30" s="62"/>
      <c r="K30" s="63"/>
      <c r="L30" s="66"/>
      <c r="M30" s="67"/>
      <c r="N30" s="22"/>
      <c r="O30" s="62"/>
      <c r="P30" s="63"/>
      <c r="Q30" s="66"/>
      <c r="R30" s="67"/>
    </row>
    <row r="31" spans="1:18" x14ac:dyDescent="0.25">
      <c r="A31" s="4">
        <v>3</v>
      </c>
      <c r="B31" s="76" t="s">
        <v>9</v>
      </c>
      <c r="C31" s="77">
        <v>122</v>
      </c>
      <c r="D31" s="82">
        <v>22.4</v>
      </c>
      <c r="E31" s="42">
        <f t="shared" si="1"/>
        <v>2732.7999999999997</v>
      </c>
      <c r="F31" s="22"/>
      <c r="G31" s="60"/>
      <c r="H31" s="58"/>
      <c r="I31" s="22"/>
      <c r="J31" s="62"/>
      <c r="K31" s="63"/>
      <c r="L31" s="66"/>
      <c r="M31" s="67"/>
      <c r="N31" s="22"/>
      <c r="O31" s="62"/>
      <c r="P31" s="63"/>
      <c r="Q31" s="66"/>
      <c r="R31" s="67"/>
    </row>
    <row r="32" spans="1:18" ht="15.6" x14ac:dyDescent="0.3">
      <c r="A32" s="26">
        <v>3</v>
      </c>
      <c r="B32" s="80" t="s">
        <v>31</v>
      </c>
      <c r="C32" s="81">
        <v>11.5</v>
      </c>
      <c r="D32" s="82">
        <v>25.3</v>
      </c>
      <c r="E32" s="42">
        <f t="shared" si="1"/>
        <v>290.95</v>
      </c>
      <c r="F32" s="22"/>
      <c r="G32" s="19" t="s">
        <v>23</v>
      </c>
      <c r="H32" s="37"/>
      <c r="I32" s="22"/>
      <c r="J32" s="32" t="s">
        <v>19</v>
      </c>
      <c r="K32" s="33" t="s">
        <v>16</v>
      </c>
      <c r="L32" s="34" t="s">
        <v>20</v>
      </c>
      <c r="M32" s="35" t="s">
        <v>16</v>
      </c>
      <c r="N32" s="22"/>
      <c r="O32" s="32" t="s">
        <v>19</v>
      </c>
      <c r="P32" s="33" t="s">
        <v>16</v>
      </c>
      <c r="Q32" s="34" t="s">
        <v>20</v>
      </c>
      <c r="R32" s="35" t="s">
        <v>16</v>
      </c>
    </row>
    <row r="33" spans="1:18" x14ac:dyDescent="0.25">
      <c r="A33" s="25">
        <v>3</v>
      </c>
      <c r="B33" s="78" t="s">
        <v>32</v>
      </c>
      <c r="C33" s="79">
        <v>26.5</v>
      </c>
      <c r="D33" s="83">
        <v>25.3</v>
      </c>
      <c r="E33" s="43">
        <f t="shared" si="1"/>
        <v>670.45</v>
      </c>
      <c r="F33" s="22"/>
      <c r="G33" s="60" t="s">
        <v>25</v>
      </c>
      <c r="H33" s="57">
        <v>67.900000000000006</v>
      </c>
      <c r="I33" s="22"/>
      <c r="J33" s="62"/>
      <c r="K33" s="63"/>
      <c r="L33" s="68" t="s">
        <v>49</v>
      </c>
      <c r="M33" s="69">
        <v>430</v>
      </c>
      <c r="N33" s="22"/>
      <c r="O33" s="62"/>
      <c r="P33" s="63"/>
      <c r="Q33" s="68" t="s">
        <v>53</v>
      </c>
      <c r="R33" s="69">
        <v>6450</v>
      </c>
    </row>
    <row r="34" spans="1:18" x14ac:dyDescent="0.25">
      <c r="A34" s="4">
        <v>4</v>
      </c>
      <c r="B34" s="76" t="s">
        <v>9</v>
      </c>
      <c r="C34" s="77">
        <v>122</v>
      </c>
      <c r="D34" s="82">
        <v>22.4</v>
      </c>
      <c r="E34" s="42">
        <f t="shared" si="1"/>
        <v>2732.7999999999997</v>
      </c>
      <c r="F34" s="22"/>
      <c r="G34" s="60" t="s">
        <v>26</v>
      </c>
      <c r="H34" s="57">
        <v>27.58</v>
      </c>
      <c r="I34" s="22"/>
      <c r="J34" s="62"/>
      <c r="K34" s="63"/>
      <c r="L34" s="68" t="s">
        <v>81</v>
      </c>
      <c r="M34" s="69">
        <f>H37*11.5</f>
        <v>10487.310000000001</v>
      </c>
      <c r="N34" s="22"/>
      <c r="O34" s="62"/>
      <c r="P34" s="63"/>
      <c r="Q34" s="68" t="s">
        <v>81</v>
      </c>
      <c r="R34" s="69">
        <f>H37*26.5</f>
        <v>24166.41</v>
      </c>
    </row>
    <row r="35" spans="1:18" x14ac:dyDescent="0.25">
      <c r="A35" s="4">
        <v>4</v>
      </c>
      <c r="B35" s="76" t="s">
        <v>31</v>
      </c>
      <c r="C35" s="77">
        <v>11.5</v>
      </c>
      <c r="D35" s="82">
        <v>25.3</v>
      </c>
      <c r="E35" s="42">
        <f t="shared" si="1"/>
        <v>290.95</v>
      </c>
      <c r="F35" s="22"/>
      <c r="G35" s="60" t="s">
        <v>24</v>
      </c>
      <c r="H35" s="57">
        <v>18.55</v>
      </c>
      <c r="I35" s="22"/>
      <c r="J35" s="62"/>
      <c r="K35" s="63"/>
      <c r="L35" s="68"/>
      <c r="M35" s="69"/>
      <c r="N35" s="22"/>
      <c r="O35" s="62"/>
      <c r="P35" s="63"/>
      <c r="Q35" s="68"/>
      <c r="R35" s="69"/>
    </row>
    <row r="36" spans="1:18" ht="15.6" thickBot="1" x14ac:dyDescent="0.3">
      <c r="A36" s="25">
        <v>4</v>
      </c>
      <c r="B36" s="78" t="s">
        <v>32</v>
      </c>
      <c r="C36" s="79">
        <v>26.5</v>
      </c>
      <c r="D36" s="83">
        <v>25.3</v>
      </c>
      <c r="E36" s="43">
        <f t="shared" si="1"/>
        <v>670.45</v>
      </c>
      <c r="F36" s="22"/>
      <c r="G36" s="61"/>
      <c r="H36" s="61"/>
      <c r="I36" s="22"/>
      <c r="J36" s="64"/>
      <c r="K36" s="65"/>
      <c r="L36" s="70"/>
      <c r="M36" s="71"/>
      <c r="N36" s="22"/>
      <c r="O36" s="64"/>
      <c r="P36" s="65"/>
      <c r="Q36" s="70"/>
      <c r="R36" s="71"/>
    </row>
    <row r="37" spans="1:18" ht="15.6" x14ac:dyDescent="0.3">
      <c r="F37" s="22"/>
      <c r="G37" s="11" t="s">
        <v>100</v>
      </c>
      <c r="H37" s="56">
        <v>911.94</v>
      </c>
      <c r="I37" s="22"/>
      <c r="J37" s="7" t="s">
        <v>21</v>
      </c>
      <c r="K37" s="15">
        <f>SUM(K28:K31,K33:K36)</f>
        <v>15444.5</v>
      </c>
      <c r="L37" s="10" t="s">
        <v>22</v>
      </c>
      <c r="M37" s="14">
        <f>SUM(M28:M31,M33:M36)</f>
        <v>10917.310000000001</v>
      </c>
      <c r="N37" s="22"/>
      <c r="O37" s="7" t="s">
        <v>21</v>
      </c>
      <c r="P37" s="15">
        <f>SUM(P28:P31,P33:P36)</f>
        <v>38729.75</v>
      </c>
      <c r="Q37" s="10" t="s">
        <v>22</v>
      </c>
      <c r="R37" s="14">
        <f>SUM(R28:R31,R33:R36)</f>
        <v>30616.41</v>
      </c>
    </row>
    <row r="38" spans="1:18" ht="15.6" x14ac:dyDescent="0.3">
      <c r="C38" s="89" t="s">
        <v>87</v>
      </c>
      <c r="D38" s="89"/>
      <c r="E38" s="41">
        <f>SUM(E25:E36)/12</f>
        <v>1595.1166666666668</v>
      </c>
      <c r="F38" s="22"/>
      <c r="G38" s="18"/>
      <c r="H38" s="24"/>
      <c r="I38" s="22"/>
      <c r="N38" s="22"/>
    </row>
    <row r="39" spans="1:18" ht="16.2" thickBot="1" x14ac:dyDescent="0.35">
      <c r="F39" s="22"/>
      <c r="G39" s="18" t="s">
        <v>27</v>
      </c>
      <c r="H39" s="24">
        <f>H30-H37</f>
        <v>707.56</v>
      </c>
      <c r="I39" s="22"/>
      <c r="J39" s="1" t="s">
        <v>91</v>
      </c>
      <c r="K39" s="16">
        <f>K37-M37</f>
        <v>4527.1899999999987</v>
      </c>
      <c r="N39" s="22"/>
      <c r="O39" s="1" t="s">
        <v>91</v>
      </c>
      <c r="P39" s="16">
        <f>P37-R37</f>
        <v>8113.34</v>
      </c>
    </row>
    <row r="40" spans="1:18" ht="15.6" thickTop="1" x14ac:dyDescent="0.25">
      <c r="F40" s="22"/>
      <c r="I40" s="22"/>
      <c r="N40" s="22"/>
    </row>
    <row r="41" spans="1:18" x14ac:dyDescent="0.25">
      <c r="F41" s="22"/>
      <c r="G41" s="21"/>
      <c r="H41" s="21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 x14ac:dyDescent="0.25">
      <c r="F42" s="22"/>
      <c r="I42" s="22"/>
      <c r="N42" s="22"/>
    </row>
    <row r="43" spans="1:18" ht="15.6" x14ac:dyDescent="0.3">
      <c r="F43" s="22"/>
      <c r="G43" s="94" t="s">
        <v>30</v>
      </c>
      <c r="H43" s="94"/>
      <c r="I43" s="87"/>
      <c r="J43" s="95" t="s">
        <v>41</v>
      </c>
      <c r="K43" s="95"/>
      <c r="L43" s="95"/>
      <c r="M43" s="95"/>
      <c r="N43" s="87"/>
      <c r="O43" s="95" t="s">
        <v>44</v>
      </c>
      <c r="P43" s="95"/>
      <c r="Q43" s="95"/>
      <c r="R43" s="95"/>
    </row>
    <row r="44" spans="1:18" ht="15.6" x14ac:dyDescent="0.3">
      <c r="F44" s="22"/>
      <c r="G44" s="12"/>
      <c r="H44" s="12"/>
      <c r="I44" s="22"/>
      <c r="N44" s="22"/>
    </row>
    <row r="45" spans="1:18" ht="16.2" thickBot="1" x14ac:dyDescent="0.35">
      <c r="F45" s="22"/>
      <c r="G45" s="13"/>
      <c r="H45" s="13"/>
      <c r="I45" s="23"/>
      <c r="J45" s="90" t="s">
        <v>13</v>
      </c>
      <c r="K45" s="90"/>
      <c r="L45" s="91" t="s">
        <v>14</v>
      </c>
      <c r="M45" s="91"/>
      <c r="N45" s="23"/>
      <c r="O45" s="90" t="s">
        <v>13</v>
      </c>
      <c r="P45" s="90"/>
      <c r="Q45" s="91" t="s">
        <v>14</v>
      </c>
      <c r="R45" s="91"/>
    </row>
    <row r="46" spans="1:18" x14ac:dyDescent="0.25">
      <c r="F46" s="22"/>
      <c r="I46" s="22"/>
      <c r="J46" s="5"/>
      <c r="K46" s="6"/>
      <c r="L46" s="8"/>
      <c r="M46" s="9"/>
      <c r="N46" s="22"/>
      <c r="O46" s="5"/>
      <c r="P46" s="6"/>
      <c r="Q46" s="8"/>
      <c r="R46" s="9"/>
    </row>
    <row r="47" spans="1:18" ht="15.6" x14ac:dyDescent="0.3">
      <c r="F47" s="22"/>
      <c r="G47" s="20" t="s">
        <v>15</v>
      </c>
      <c r="I47" s="22"/>
      <c r="J47" s="32" t="s">
        <v>17</v>
      </c>
      <c r="K47" s="33" t="s">
        <v>16</v>
      </c>
      <c r="L47" s="34" t="s">
        <v>18</v>
      </c>
      <c r="M47" s="35" t="s">
        <v>16</v>
      </c>
      <c r="N47" s="22"/>
      <c r="O47" s="32" t="s">
        <v>17</v>
      </c>
      <c r="P47" s="33" t="s">
        <v>16</v>
      </c>
      <c r="Q47" s="34" t="s">
        <v>18</v>
      </c>
      <c r="R47" s="35" t="s">
        <v>16</v>
      </c>
    </row>
    <row r="48" spans="1:18" x14ac:dyDescent="0.25">
      <c r="F48" s="22"/>
      <c r="G48" s="59" t="s">
        <v>37</v>
      </c>
      <c r="H48" s="58">
        <v>125</v>
      </c>
      <c r="I48" s="22"/>
      <c r="J48" s="62" t="s">
        <v>55</v>
      </c>
      <c r="K48" s="63">
        <f>103*3.7*11.5</f>
        <v>4382.6500000000005</v>
      </c>
      <c r="L48" s="66"/>
      <c r="M48" s="67"/>
      <c r="N48" s="22"/>
      <c r="O48" s="62" t="s">
        <v>86</v>
      </c>
      <c r="P48" s="63">
        <f>112*3.7*26.5</f>
        <v>10981.6</v>
      </c>
      <c r="Q48" s="66"/>
      <c r="R48" s="67"/>
    </row>
    <row r="49" spans="6:18" x14ac:dyDescent="0.25">
      <c r="F49" s="22"/>
      <c r="G49" s="59" t="s">
        <v>38</v>
      </c>
      <c r="H49" s="56">
        <v>3.7</v>
      </c>
      <c r="I49" s="22"/>
      <c r="J49" s="62"/>
      <c r="K49" s="63"/>
      <c r="L49" s="66"/>
      <c r="M49" s="67"/>
      <c r="N49" s="22"/>
      <c r="O49" s="62"/>
      <c r="P49" s="63"/>
      <c r="Q49" s="66"/>
      <c r="R49" s="67"/>
    </row>
    <row r="50" spans="6:18" x14ac:dyDescent="0.25">
      <c r="F50" s="22"/>
      <c r="G50" s="59" t="s">
        <v>28</v>
      </c>
      <c r="H50" s="56">
        <f>H48*H49</f>
        <v>462.5</v>
      </c>
      <c r="I50" s="22"/>
      <c r="J50" s="62"/>
      <c r="K50" s="63"/>
      <c r="L50" s="66"/>
      <c r="M50" s="67"/>
      <c r="N50" s="22"/>
      <c r="O50" s="62"/>
      <c r="P50" s="63"/>
      <c r="Q50" s="66"/>
      <c r="R50" s="67"/>
    </row>
    <row r="51" spans="6:18" x14ac:dyDescent="0.25">
      <c r="F51" s="22"/>
      <c r="G51" s="60"/>
      <c r="H51" s="58"/>
      <c r="I51" s="22"/>
      <c r="J51" s="62"/>
      <c r="K51" s="63"/>
      <c r="L51" s="66"/>
      <c r="M51" s="67"/>
      <c r="N51" s="22"/>
      <c r="O51" s="62"/>
      <c r="P51" s="63"/>
      <c r="Q51" s="66"/>
      <c r="R51" s="67"/>
    </row>
    <row r="52" spans="6:18" ht="15.6" x14ac:dyDescent="0.3">
      <c r="F52" s="22"/>
      <c r="G52" s="19" t="s">
        <v>23</v>
      </c>
      <c r="H52" s="17"/>
      <c r="I52" s="22"/>
      <c r="J52" s="32" t="s">
        <v>19</v>
      </c>
      <c r="K52" s="33" t="s">
        <v>16</v>
      </c>
      <c r="L52" s="34" t="s">
        <v>20</v>
      </c>
      <c r="M52" s="35" t="s">
        <v>16</v>
      </c>
      <c r="N52" s="22"/>
      <c r="O52" s="32" t="s">
        <v>19</v>
      </c>
      <c r="P52" s="33" t="s">
        <v>16</v>
      </c>
      <c r="Q52" s="34" t="s">
        <v>20</v>
      </c>
      <c r="R52" s="35" t="s">
        <v>16</v>
      </c>
    </row>
    <row r="53" spans="6:18" x14ac:dyDescent="0.25">
      <c r="F53" s="22"/>
      <c r="G53" s="60" t="s">
        <v>25</v>
      </c>
      <c r="H53" s="58">
        <v>36.86</v>
      </c>
      <c r="I53" s="22"/>
      <c r="J53" s="62"/>
      <c r="K53" s="63"/>
      <c r="L53" s="68" t="s">
        <v>49</v>
      </c>
      <c r="M53" s="69">
        <v>430</v>
      </c>
      <c r="N53" s="22"/>
      <c r="O53" s="62"/>
      <c r="P53" s="63"/>
      <c r="Q53" s="68" t="s">
        <v>53</v>
      </c>
      <c r="R53" s="69">
        <v>6450</v>
      </c>
    </row>
    <row r="54" spans="6:18" x14ac:dyDescent="0.25">
      <c r="F54" s="22"/>
      <c r="G54" s="60" t="s">
        <v>26</v>
      </c>
      <c r="H54" s="58">
        <v>14.97</v>
      </c>
      <c r="I54" s="22"/>
      <c r="J54" s="62"/>
      <c r="K54" s="63"/>
      <c r="L54" s="68" t="s">
        <v>81</v>
      </c>
      <c r="M54" s="69">
        <f>H57*11.5</f>
        <v>3860.2050000000004</v>
      </c>
      <c r="N54" s="22"/>
      <c r="O54" s="62"/>
      <c r="P54" s="63"/>
      <c r="Q54" s="68" t="s">
        <v>81</v>
      </c>
      <c r="R54" s="69">
        <f>H57*26.5</f>
        <v>8895.255000000001</v>
      </c>
    </row>
    <row r="55" spans="6:18" x14ac:dyDescent="0.25">
      <c r="F55" s="22"/>
      <c r="G55" s="60" t="s">
        <v>24</v>
      </c>
      <c r="H55" s="58">
        <v>10.07</v>
      </c>
      <c r="I55" s="22"/>
      <c r="J55" s="62"/>
      <c r="K55" s="63"/>
      <c r="L55" s="68"/>
      <c r="M55" s="69"/>
      <c r="N55" s="22"/>
      <c r="O55" s="62"/>
      <c r="P55" s="63"/>
      <c r="Q55" s="68"/>
      <c r="R55" s="69"/>
    </row>
    <row r="56" spans="6:18" ht="15.6" thickBot="1" x14ac:dyDescent="0.3">
      <c r="F56" s="22"/>
      <c r="G56" s="61"/>
      <c r="H56" s="61"/>
      <c r="I56" s="22"/>
      <c r="J56" s="64"/>
      <c r="K56" s="65"/>
      <c r="L56" s="70"/>
      <c r="M56" s="71"/>
      <c r="N56" s="22"/>
      <c r="O56" s="64"/>
      <c r="P56" s="65"/>
      <c r="Q56" s="70"/>
      <c r="R56" s="71"/>
    </row>
    <row r="57" spans="6:18" ht="15.6" x14ac:dyDescent="0.3">
      <c r="F57" s="22"/>
      <c r="G57" s="11" t="s">
        <v>101</v>
      </c>
      <c r="H57" s="56">
        <v>335.67</v>
      </c>
      <c r="I57" s="22"/>
      <c r="J57" s="7" t="s">
        <v>21</v>
      </c>
      <c r="K57" s="15">
        <f>SUM(K48:K51,K53:K56)</f>
        <v>4382.6500000000005</v>
      </c>
      <c r="L57" s="10" t="s">
        <v>22</v>
      </c>
      <c r="M57" s="14">
        <f>SUM(M48:M51,M53:M56)</f>
        <v>4290.2049999999999</v>
      </c>
      <c r="N57" s="22"/>
      <c r="O57" s="7" t="s">
        <v>21</v>
      </c>
      <c r="P57" s="15">
        <f>SUM(P48:P51,P53:P56)</f>
        <v>10981.6</v>
      </c>
      <c r="Q57" s="10" t="s">
        <v>22</v>
      </c>
      <c r="R57" s="14">
        <f>SUM(R48:R51,R53:R56)</f>
        <v>15345.255000000001</v>
      </c>
    </row>
    <row r="58" spans="6:18" ht="15.6" x14ac:dyDescent="0.3">
      <c r="F58" s="22"/>
      <c r="G58" s="18"/>
      <c r="H58" s="24"/>
      <c r="I58" s="22"/>
      <c r="N58" s="22"/>
    </row>
    <row r="59" spans="6:18" ht="16.2" thickBot="1" x14ac:dyDescent="0.35">
      <c r="F59" s="22"/>
      <c r="G59" s="18" t="s">
        <v>27</v>
      </c>
      <c r="H59" s="24">
        <v>126.83</v>
      </c>
      <c r="I59" s="22"/>
      <c r="J59" s="1" t="s">
        <v>91</v>
      </c>
      <c r="K59" s="16">
        <f>K57-M57</f>
        <v>92.445000000000618</v>
      </c>
      <c r="N59" s="22"/>
      <c r="O59" s="1" t="s">
        <v>91</v>
      </c>
      <c r="P59" s="16">
        <f>P57-R57</f>
        <v>-4363.6550000000007</v>
      </c>
    </row>
    <row r="60" spans="6:18" ht="15.6" thickTop="1" x14ac:dyDescent="0.25"/>
  </sheetData>
  <sheetProtection selectLockedCells="1"/>
  <mergeCells count="25">
    <mergeCell ref="O3:R3"/>
    <mergeCell ref="O5:P5"/>
    <mergeCell ref="Q5:R5"/>
    <mergeCell ref="G23:H23"/>
    <mergeCell ref="J23:M23"/>
    <mergeCell ref="O23:R23"/>
    <mergeCell ref="G3:H3"/>
    <mergeCell ref="J3:M3"/>
    <mergeCell ref="J5:K5"/>
    <mergeCell ref="L5:M5"/>
    <mergeCell ref="O25:P25"/>
    <mergeCell ref="Q25:R25"/>
    <mergeCell ref="G43:H43"/>
    <mergeCell ref="J43:M43"/>
    <mergeCell ref="O43:R43"/>
    <mergeCell ref="A1:E1"/>
    <mergeCell ref="A2:E2"/>
    <mergeCell ref="C19:D19"/>
    <mergeCell ref="J25:K25"/>
    <mergeCell ref="L25:M25"/>
    <mergeCell ref="C38:D38"/>
    <mergeCell ref="J45:K45"/>
    <mergeCell ref="L45:M45"/>
    <mergeCell ref="O45:P45"/>
    <mergeCell ref="Q45:R4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B58A4-2BD4-44A8-A4B7-4DD618DEBECD}">
  <sheetPr>
    <tabColor rgb="FFFFFF00"/>
  </sheetPr>
  <dimension ref="A1:R60"/>
  <sheetViews>
    <sheetView zoomScaleNormal="100" workbookViewId="0">
      <selection activeCell="G48" sqref="G48"/>
    </sheetView>
  </sheetViews>
  <sheetFormatPr defaultRowHeight="15" x14ac:dyDescent="0.25"/>
  <cols>
    <col min="1" max="1" width="9.08984375" customWidth="1"/>
    <col min="2" max="2" width="27.26953125" customWidth="1"/>
    <col min="3" max="3" width="9.08984375" customWidth="1"/>
    <col min="4" max="5" width="12.26953125" customWidth="1"/>
    <col min="6" max="6" width="2.26953125" customWidth="1"/>
    <col min="7" max="7" width="20.453125" style="11" customWidth="1"/>
    <col min="8" max="8" width="18.1796875" style="11" customWidth="1"/>
    <col min="9" max="9" width="2.26953125" customWidth="1"/>
    <col min="10" max="10" width="22.7265625" customWidth="1"/>
    <col min="11" max="11" width="11.36328125" customWidth="1"/>
    <col min="12" max="12" width="20.453125" customWidth="1"/>
    <col min="13" max="13" width="11.36328125" customWidth="1"/>
    <col min="14" max="14" width="2.26953125" customWidth="1"/>
    <col min="15" max="15" width="22.7265625" customWidth="1"/>
    <col min="16" max="16" width="11.36328125" customWidth="1"/>
    <col min="17" max="17" width="20.453125" customWidth="1"/>
    <col min="18" max="18" width="11.36328125" customWidth="1"/>
  </cols>
  <sheetData>
    <row r="1" spans="1:18" ht="21" x14ac:dyDescent="0.4">
      <c r="A1" s="96" t="s">
        <v>79</v>
      </c>
      <c r="B1" s="96"/>
      <c r="C1" s="96"/>
      <c r="D1" s="96"/>
      <c r="E1" s="96"/>
      <c r="F1" s="22"/>
      <c r="I1" s="22"/>
      <c r="N1" s="22"/>
    </row>
    <row r="2" spans="1:18" ht="21" x14ac:dyDescent="0.4">
      <c r="A2" s="93" t="s">
        <v>47</v>
      </c>
      <c r="B2" s="93"/>
      <c r="C2" s="93"/>
      <c r="D2" s="93"/>
      <c r="E2" s="93"/>
      <c r="F2" s="22"/>
      <c r="I2" s="22"/>
      <c r="N2" s="22"/>
    </row>
    <row r="3" spans="1:18" ht="15.6" x14ac:dyDescent="0.3">
      <c r="A3" s="1"/>
      <c r="D3" s="2"/>
      <c r="E3" s="2"/>
      <c r="F3" s="22"/>
      <c r="G3" s="94" t="s">
        <v>12</v>
      </c>
      <c r="H3" s="94"/>
      <c r="I3" s="22"/>
      <c r="J3" s="95" t="s">
        <v>39</v>
      </c>
      <c r="K3" s="95"/>
      <c r="L3" s="95"/>
      <c r="M3" s="95"/>
      <c r="N3" s="22"/>
      <c r="O3" s="95" t="s">
        <v>59</v>
      </c>
      <c r="P3" s="95"/>
      <c r="Q3" s="95"/>
      <c r="R3" s="95"/>
    </row>
    <row r="4" spans="1:18" ht="15.6" x14ac:dyDescent="0.3">
      <c r="D4" s="2" t="s">
        <v>90</v>
      </c>
      <c r="E4" s="2" t="s">
        <v>11</v>
      </c>
      <c r="F4" s="22"/>
      <c r="G4" s="12"/>
      <c r="H4" s="12"/>
      <c r="I4" s="22"/>
      <c r="J4" s="2"/>
      <c r="N4" s="22"/>
      <c r="O4" s="2"/>
    </row>
    <row r="5" spans="1:18" s="2" customFormat="1" ht="16.2" thickBot="1" x14ac:dyDescent="0.35">
      <c r="A5" s="3" t="s">
        <v>0</v>
      </c>
      <c r="B5" s="3" t="s">
        <v>1</v>
      </c>
      <c r="C5" s="3" t="s">
        <v>2</v>
      </c>
      <c r="D5" s="3" t="s">
        <v>10</v>
      </c>
      <c r="E5" s="3" t="s">
        <v>90</v>
      </c>
      <c r="F5" s="23"/>
      <c r="G5" s="13"/>
      <c r="H5" s="13"/>
      <c r="I5" s="23"/>
      <c r="J5" s="90" t="s">
        <v>13</v>
      </c>
      <c r="K5" s="90"/>
      <c r="L5" s="91" t="s">
        <v>14</v>
      </c>
      <c r="M5" s="91"/>
      <c r="N5" s="23"/>
      <c r="O5" s="90" t="s">
        <v>13</v>
      </c>
      <c r="P5" s="90"/>
      <c r="Q5" s="91" t="s">
        <v>14</v>
      </c>
      <c r="R5" s="91"/>
    </row>
    <row r="6" spans="1:18" x14ac:dyDescent="0.25">
      <c r="A6" s="4">
        <v>1</v>
      </c>
      <c r="B6" s="76" t="s">
        <v>3</v>
      </c>
      <c r="C6" s="77">
        <v>122</v>
      </c>
      <c r="D6" s="28">
        <f>H19</f>
        <v>1297.95</v>
      </c>
      <c r="E6" s="28">
        <f>C6*D6</f>
        <v>158349.9</v>
      </c>
      <c r="F6" s="22"/>
      <c r="I6" s="22"/>
      <c r="J6" s="5"/>
      <c r="K6" s="6"/>
      <c r="L6" s="8"/>
      <c r="M6" s="9"/>
      <c r="N6" s="22"/>
      <c r="O6" s="5"/>
      <c r="P6" s="6"/>
      <c r="Q6" s="8"/>
      <c r="R6" s="9"/>
    </row>
    <row r="7" spans="1:18" ht="15.6" x14ac:dyDescent="0.3">
      <c r="A7" s="4">
        <v>1</v>
      </c>
      <c r="B7" s="76" t="s">
        <v>5</v>
      </c>
      <c r="C7" s="77">
        <v>11.5</v>
      </c>
      <c r="D7" s="28">
        <f>K19/C7</f>
        <v>698.05869565217381</v>
      </c>
      <c r="E7" s="28">
        <f>C7*D7</f>
        <v>8027.6749999999993</v>
      </c>
      <c r="F7" s="22"/>
      <c r="G7" s="20" t="s">
        <v>15</v>
      </c>
      <c r="H7" s="36"/>
      <c r="I7" s="22"/>
      <c r="J7" s="32" t="s">
        <v>17</v>
      </c>
      <c r="K7" s="33" t="s">
        <v>16</v>
      </c>
      <c r="L7" s="34" t="s">
        <v>18</v>
      </c>
      <c r="M7" s="35" t="s">
        <v>16</v>
      </c>
      <c r="N7" s="22"/>
      <c r="O7" s="32" t="s">
        <v>17</v>
      </c>
      <c r="P7" s="33" t="s">
        <v>16</v>
      </c>
      <c r="Q7" s="34" t="s">
        <v>18</v>
      </c>
      <c r="R7" s="35" t="s">
        <v>16</v>
      </c>
    </row>
    <row r="8" spans="1:18" x14ac:dyDescent="0.25">
      <c r="A8" s="25">
        <v>1</v>
      </c>
      <c r="B8" s="78" t="s">
        <v>73</v>
      </c>
      <c r="C8" s="79">
        <v>26.5</v>
      </c>
      <c r="D8" s="29">
        <f>P19/C8</f>
        <v>185</v>
      </c>
      <c r="E8" s="29">
        <f t="shared" ref="E8:E17" si="0">C8*D8</f>
        <v>4902.5</v>
      </c>
      <c r="F8" s="22"/>
      <c r="G8" s="59" t="s">
        <v>33</v>
      </c>
      <c r="H8" s="58">
        <v>420</v>
      </c>
      <c r="I8" s="22"/>
      <c r="J8" s="62" t="s">
        <v>50</v>
      </c>
      <c r="K8" s="63">
        <f>345*7.5*11.5</f>
        <v>29756.25</v>
      </c>
      <c r="L8" s="66"/>
      <c r="M8" s="67"/>
      <c r="N8" s="22"/>
      <c r="O8" s="62" t="s">
        <v>88</v>
      </c>
      <c r="P8" s="63">
        <f>160*26.5</f>
        <v>4240</v>
      </c>
      <c r="Q8" s="66"/>
      <c r="R8" s="67"/>
    </row>
    <row r="9" spans="1:18" x14ac:dyDescent="0.25">
      <c r="A9" s="4">
        <v>2</v>
      </c>
      <c r="B9" s="76" t="s">
        <v>6</v>
      </c>
      <c r="C9" s="77">
        <v>122</v>
      </c>
      <c r="D9" s="28">
        <f>H39</f>
        <v>707.56</v>
      </c>
      <c r="E9" s="28">
        <f t="shared" si="0"/>
        <v>86322.319999999992</v>
      </c>
      <c r="F9" s="22"/>
      <c r="G9" s="59" t="s">
        <v>34</v>
      </c>
      <c r="H9" s="56">
        <v>7.5</v>
      </c>
      <c r="I9" s="22"/>
      <c r="J9" s="62"/>
      <c r="K9" s="63"/>
      <c r="L9" s="66"/>
      <c r="M9" s="67"/>
      <c r="N9" s="22"/>
      <c r="O9" s="62" t="s">
        <v>56</v>
      </c>
      <c r="P9" s="63">
        <f>30*26.5</f>
        <v>795</v>
      </c>
      <c r="Q9" s="66"/>
      <c r="R9" s="67"/>
    </row>
    <row r="10" spans="1:18" x14ac:dyDescent="0.25">
      <c r="A10" s="4">
        <v>2</v>
      </c>
      <c r="B10" s="76" t="s">
        <v>7</v>
      </c>
      <c r="C10" s="77">
        <v>11.5</v>
      </c>
      <c r="D10" s="28">
        <f>K39/C10</f>
        <v>393.66869565217382</v>
      </c>
      <c r="E10" s="28">
        <f t="shared" si="0"/>
        <v>4527.1899999999987</v>
      </c>
      <c r="F10" s="22"/>
      <c r="G10" s="59" t="s">
        <v>28</v>
      </c>
      <c r="H10" s="56">
        <f>H8*H9</f>
        <v>3150</v>
      </c>
      <c r="I10" s="22"/>
      <c r="J10" s="62"/>
      <c r="K10" s="63"/>
      <c r="L10" s="66"/>
      <c r="M10" s="67"/>
      <c r="N10" s="22"/>
      <c r="O10" s="72"/>
      <c r="P10" s="73"/>
      <c r="Q10" s="66"/>
      <c r="R10" s="67"/>
    </row>
    <row r="11" spans="1:18" x14ac:dyDescent="0.25">
      <c r="A11" s="25">
        <v>2</v>
      </c>
      <c r="B11" s="78" t="s">
        <v>75</v>
      </c>
      <c r="C11" s="79">
        <v>26.5</v>
      </c>
      <c r="D11" s="29">
        <f>P39/C11</f>
        <v>155</v>
      </c>
      <c r="E11" s="29">
        <f t="shared" si="0"/>
        <v>4107.5</v>
      </c>
      <c r="F11" s="22"/>
      <c r="G11" s="60"/>
      <c r="H11" s="58"/>
      <c r="I11" s="22"/>
      <c r="J11" s="62"/>
      <c r="K11" s="63"/>
      <c r="L11" s="66"/>
      <c r="M11" s="67"/>
      <c r="N11" s="22"/>
      <c r="O11" s="62"/>
      <c r="P11" s="63"/>
      <c r="Q11" s="66"/>
      <c r="R11" s="67"/>
    </row>
    <row r="12" spans="1:18" ht="15.6" x14ac:dyDescent="0.3">
      <c r="A12" s="4">
        <v>3</v>
      </c>
      <c r="B12" s="76" t="s">
        <v>9</v>
      </c>
      <c r="C12" s="77">
        <v>122</v>
      </c>
      <c r="D12" s="28">
        <f>H59</f>
        <v>126.82999999999998</v>
      </c>
      <c r="E12" s="28">
        <f t="shared" si="0"/>
        <v>15473.259999999998</v>
      </c>
      <c r="F12" s="22"/>
      <c r="G12" s="19" t="s">
        <v>23</v>
      </c>
      <c r="H12" s="37"/>
      <c r="I12" s="22"/>
      <c r="J12" s="32" t="s">
        <v>19</v>
      </c>
      <c r="K12" s="33" t="s">
        <v>16</v>
      </c>
      <c r="L12" s="34" t="s">
        <v>20</v>
      </c>
      <c r="M12" s="35" t="s">
        <v>16</v>
      </c>
      <c r="N12" s="22"/>
      <c r="O12" s="32" t="s">
        <v>19</v>
      </c>
      <c r="P12" s="33" t="s">
        <v>16</v>
      </c>
      <c r="Q12" s="34" t="s">
        <v>20</v>
      </c>
      <c r="R12" s="35" t="s">
        <v>16</v>
      </c>
    </row>
    <row r="13" spans="1:18" x14ac:dyDescent="0.25">
      <c r="A13" s="26">
        <v>3</v>
      </c>
      <c r="B13" s="80" t="s">
        <v>31</v>
      </c>
      <c r="C13" s="81">
        <v>11.5</v>
      </c>
      <c r="D13" s="30">
        <f>K59/C13</f>
        <v>8.038695652173967</v>
      </c>
      <c r="E13" s="28">
        <f t="shared" si="0"/>
        <v>92.445000000000618</v>
      </c>
      <c r="F13" s="22"/>
      <c r="G13" s="60" t="s">
        <v>25</v>
      </c>
      <c r="H13" s="57">
        <v>49.47</v>
      </c>
      <c r="I13" s="22"/>
      <c r="J13" s="62"/>
      <c r="K13" s="63"/>
      <c r="L13" s="68" t="s">
        <v>49</v>
      </c>
      <c r="M13" s="69">
        <v>430</v>
      </c>
      <c r="N13" s="22"/>
      <c r="O13" s="62"/>
      <c r="P13" s="63"/>
      <c r="Q13" s="66" t="s">
        <v>57</v>
      </c>
      <c r="R13" s="67">
        <f>5*26.5</f>
        <v>132.5</v>
      </c>
    </row>
    <row r="14" spans="1:18" x14ac:dyDescent="0.25">
      <c r="A14" s="25">
        <v>3</v>
      </c>
      <c r="B14" s="78" t="s">
        <v>77</v>
      </c>
      <c r="C14" s="79">
        <v>26.5</v>
      </c>
      <c r="D14" s="29">
        <f>P59/C14</f>
        <v>155</v>
      </c>
      <c r="E14" s="29">
        <f t="shared" si="0"/>
        <v>4107.5</v>
      </c>
      <c r="F14" s="22"/>
      <c r="G14" s="60" t="s">
        <v>26</v>
      </c>
      <c r="H14" s="57">
        <v>20.09</v>
      </c>
      <c r="I14" s="22"/>
      <c r="J14" s="62"/>
      <c r="K14" s="63"/>
      <c r="L14" s="68" t="s">
        <v>81</v>
      </c>
      <c r="M14" s="69">
        <f>H17*11.5</f>
        <v>21298.575000000001</v>
      </c>
      <c r="N14" s="22"/>
      <c r="O14" s="62"/>
      <c r="P14" s="63"/>
      <c r="Q14" s="68"/>
      <c r="R14" s="69"/>
    </row>
    <row r="15" spans="1:18" x14ac:dyDescent="0.25">
      <c r="A15" s="4">
        <v>4</v>
      </c>
      <c r="B15" s="76" t="s">
        <v>9</v>
      </c>
      <c r="C15" s="77">
        <v>122</v>
      </c>
      <c r="D15" s="28">
        <f>H59</f>
        <v>126.82999999999998</v>
      </c>
      <c r="E15" s="28">
        <f t="shared" si="0"/>
        <v>15473.259999999998</v>
      </c>
      <c r="F15" s="22"/>
      <c r="G15" s="60" t="s">
        <v>24</v>
      </c>
      <c r="H15" s="57">
        <v>13.52</v>
      </c>
      <c r="I15" s="22"/>
      <c r="J15" s="62"/>
      <c r="K15" s="63"/>
      <c r="L15" s="68"/>
      <c r="M15" s="69"/>
      <c r="N15" s="22"/>
      <c r="O15" s="62"/>
      <c r="P15" s="63"/>
      <c r="Q15" s="66"/>
      <c r="R15" s="67"/>
    </row>
    <row r="16" spans="1:18" ht="15.6" thickBot="1" x14ac:dyDescent="0.3">
      <c r="A16" s="4">
        <v>4</v>
      </c>
      <c r="B16" s="76" t="s">
        <v>31</v>
      </c>
      <c r="C16" s="77">
        <v>11.5</v>
      </c>
      <c r="D16" s="28">
        <f>K59/C16</f>
        <v>8.038695652173967</v>
      </c>
      <c r="E16" s="28">
        <f t="shared" si="0"/>
        <v>92.445000000000618</v>
      </c>
      <c r="F16" s="22"/>
      <c r="G16" s="61"/>
      <c r="H16" s="61"/>
      <c r="I16" s="22"/>
      <c r="J16" s="64"/>
      <c r="K16" s="65"/>
      <c r="L16" s="70"/>
      <c r="M16" s="71"/>
      <c r="N16" s="22"/>
      <c r="O16" s="64"/>
      <c r="P16" s="65"/>
      <c r="Q16" s="70"/>
      <c r="R16" s="71"/>
    </row>
    <row r="17" spans="1:18" ht="15.6" x14ac:dyDescent="0.3">
      <c r="A17" s="25">
        <v>4</v>
      </c>
      <c r="B17" s="78" t="s">
        <v>77</v>
      </c>
      <c r="C17" s="79">
        <v>26.5</v>
      </c>
      <c r="D17" s="29">
        <f>P59/C17</f>
        <v>155</v>
      </c>
      <c r="E17" s="29">
        <f t="shared" si="0"/>
        <v>4107.5</v>
      </c>
      <c r="F17" s="22"/>
      <c r="G17" s="11" t="s">
        <v>100</v>
      </c>
      <c r="H17" s="56">
        <v>1852.05</v>
      </c>
      <c r="I17" s="22"/>
      <c r="J17" s="7" t="s">
        <v>21</v>
      </c>
      <c r="K17" s="15">
        <f>SUM(K8:K11,K13:K16)</f>
        <v>29756.25</v>
      </c>
      <c r="L17" s="10" t="s">
        <v>22</v>
      </c>
      <c r="M17" s="14">
        <f>SUM(M8:M11,M13:M16)</f>
        <v>21728.575000000001</v>
      </c>
      <c r="N17" s="22"/>
      <c r="O17" s="7" t="s">
        <v>21</v>
      </c>
      <c r="P17" s="15">
        <f>SUM(P8:P11,P13:P16)</f>
        <v>5035</v>
      </c>
      <c r="Q17" s="10" t="s">
        <v>22</v>
      </c>
      <c r="R17" s="14">
        <f>SUM(R8:R11,R13:R16)</f>
        <v>132.5</v>
      </c>
    </row>
    <row r="18" spans="1:18" ht="15.6" x14ac:dyDescent="0.3">
      <c r="F18" s="22"/>
      <c r="G18" s="18"/>
      <c r="H18" s="24"/>
      <c r="I18" s="22"/>
      <c r="N18" s="22"/>
    </row>
    <row r="19" spans="1:18" ht="16.2" thickBot="1" x14ac:dyDescent="0.35">
      <c r="C19" s="89" t="s">
        <v>92</v>
      </c>
      <c r="D19" s="89"/>
      <c r="E19" s="31">
        <f>SUM(E6:E17)</f>
        <v>305583.495</v>
      </c>
      <c r="F19" s="22"/>
      <c r="G19" s="18" t="s">
        <v>27</v>
      </c>
      <c r="H19" s="24">
        <f>H10-H17</f>
        <v>1297.95</v>
      </c>
      <c r="I19" s="22"/>
      <c r="J19" s="1" t="s">
        <v>91</v>
      </c>
      <c r="K19" s="16">
        <f>K17-M17</f>
        <v>8027.6749999999993</v>
      </c>
      <c r="N19" s="22"/>
      <c r="O19" s="1" t="s">
        <v>91</v>
      </c>
      <c r="P19" s="16">
        <f>P17-R17</f>
        <v>4902.5</v>
      </c>
    </row>
    <row r="20" spans="1:18" ht="16.2" thickTop="1" x14ac:dyDescent="0.3">
      <c r="C20" s="39"/>
      <c r="D20" s="39"/>
      <c r="F20" s="22"/>
      <c r="I20" s="22"/>
      <c r="N20" s="22"/>
    </row>
    <row r="21" spans="1:18" ht="15.6" x14ac:dyDescent="0.3">
      <c r="C21" s="39"/>
      <c r="D21" s="39"/>
      <c r="F21" s="22"/>
      <c r="G21" s="21"/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15.6" x14ac:dyDescent="0.3">
      <c r="D22" s="38" t="s">
        <v>82</v>
      </c>
      <c r="E22" s="38" t="s">
        <v>11</v>
      </c>
      <c r="F22" s="22"/>
      <c r="I22" s="22"/>
      <c r="N22" s="22"/>
    </row>
    <row r="23" spans="1:18" ht="15.6" x14ac:dyDescent="0.3">
      <c r="D23" s="38" t="s">
        <v>10</v>
      </c>
      <c r="E23" s="38" t="s">
        <v>82</v>
      </c>
      <c r="F23" s="22"/>
      <c r="G23" s="94" t="s">
        <v>29</v>
      </c>
      <c r="H23" s="94"/>
      <c r="I23" s="22"/>
      <c r="J23" s="95" t="s">
        <v>40</v>
      </c>
      <c r="K23" s="95"/>
      <c r="L23" s="95"/>
      <c r="M23" s="95"/>
      <c r="N23" s="22"/>
      <c r="O23" s="95" t="s">
        <v>60</v>
      </c>
      <c r="P23" s="95"/>
      <c r="Q23" s="95"/>
      <c r="R23" s="95"/>
    </row>
    <row r="24" spans="1:18" ht="16.2" thickBot="1" x14ac:dyDescent="0.35">
      <c r="A24" s="3" t="s">
        <v>0</v>
      </c>
      <c r="B24" s="3" t="s">
        <v>1</v>
      </c>
      <c r="C24" s="3" t="s">
        <v>2</v>
      </c>
      <c r="D24" s="40" t="s">
        <v>83</v>
      </c>
      <c r="E24" s="40" t="s">
        <v>83</v>
      </c>
      <c r="F24" s="22"/>
      <c r="G24" s="12"/>
      <c r="H24" s="12"/>
      <c r="I24" s="22"/>
      <c r="N24" s="22"/>
    </row>
    <row r="25" spans="1:18" ht="16.2" thickBot="1" x14ac:dyDescent="0.35">
      <c r="A25" s="4">
        <v>1</v>
      </c>
      <c r="B25" s="76" t="s">
        <v>3</v>
      </c>
      <c r="C25" s="77">
        <v>122</v>
      </c>
      <c r="D25" s="82">
        <v>30</v>
      </c>
      <c r="E25" s="42">
        <f>D25*C25</f>
        <v>3660</v>
      </c>
      <c r="F25" s="22"/>
      <c r="G25" s="13"/>
      <c r="H25" s="13"/>
      <c r="I25" s="23"/>
      <c r="J25" s="90" t="s">
        <v>13</v>
      </c>
      <c r="K25" s="90"/>
      <c r="L25" s="91" t="s">
        <v>14</v>
      </c>
      <c r="M25" s="91"/>
      <c r="N25" s="23"/>
      <c r="O25" s="90" t="s">
        <v>13</v>
      </c>
      <c r="P25" s="90"/>
      <c r="Q25" s="91" t="s">
        <v>14</v>
      </c>
      <c r="R25" s="91"/>
    </row>
    <row r="26" spans="1:18" x14ac:dyDescent="0.25">
      <c r="A26" s="4">
        <v>1</v>
      </c>
      <c r="B26" s="76" t="s">
        <v>5</v>
      </c>
      <c r="C26" s="77">
        <v>11.5</v>
      </c>
      <c r="D26" s="82">
        <v>34</v>
      </c>
      <c r="E26" s="42">
        <f t="shared" ref="E26:E36" si="1">D26*C26</f>
        <v>391</v>
      </c>
      <c r="F26" s="22"/>
      <c r="I26" s="22"/>
      <c r="J26" s="5"/>
      <c r="K26" s="6"/>
      <c r="L26" s="8"/>
      <c r="M26" s="9"/>
      <c r="N26" s="22"/>
      <c r="O26" s="5"/>
      <c r="P26" s="6"/>
      <c r="Q26" s="8"/>
      <c r="R26" s="9"/>
    </row>
    <row r="27" spans="1:18" ht="15.6" x14ac:dyDescent="0.3">
      <c r="A27" s="25">
        <v>1</v>
      </c>
      <c r="B27" s="78" t="s">
        <v>73</v>
      </c>
      <c r="C27" s="79">
        <v>26.5</v>
      </c>
      <c r="D27" s="83"/>
      <c r="E27" s="43">
        <f t="shared" si="1"/>
        <v>0</v>
      </c>
      <c r="F27" s="22"/>
      <c r="G27" s="20" t="s">
        <v>15</v>
      </c>
      <c r="H27" s="36"/>
      <c r="I27" s="22"/>
      <c r="J27" s="32" t="s">
        <v>17</v>
      </c>
      <c r="K27" s="33" t="s">
        <v>16</v>
      </c>
      <c r="L27" s="34" t="s">
        <v>18</v>
      </c>
      <c r="M27" s="35" t="s">
        <v>16</v>
      </c>
      <c r="N27" s="22"/>
      <c r="O27" s="32" t="s">
        <v>17</v>
      </c>
      <c r="P27" s="33" t="s">
        <v>16</v>
      </c>
      <c r="Q27" s="34" t="s">
        <v>18</v>
      </c>
      <c r="R27" s="35" t="s">
        <v>16</v>
      </c>
    </row>
    <row r="28" spans="1:18" x14ac:dyDescent="0.25">
      <c r="A28" s="4">
        <v>2</v>
      </c>
      <c r="B28" s="76" t="s">
        <v>6</v>
      </c>
      <c r="C28" s="77">
        <v>122</v>
      </c>
      <c r="D28" s="82">
        <v>41.2</v>
      </c>
      <c r="E28" s="42">
        <f t="shared" si="1"/>
        <v>5026.4000000000005</v>
      </c>
      <c r="F28" s="22"/>
      <c r="G28" s="59" t="s">
        <v>35</v>
      </c>
      <c r="H28" s="58">
        <v>41</v>
      </c>
      <c r="I28" s="22"/>
      <c r="J28" s="62" t="s">
        <v>54</v>
      </c>
      <c r="K28" s="63">
        <f>34*39.5*11.5</f>
        <v>15444.5</v>
      </c>
      <c r="L28" s="66"/>
      <c r="M28" s="67"/>
      <c r="N28" s="22"/>
      <c r="O28" s="62" t="s">
        <v>88</v>
      </c>
      <c r="P28" s="63">
        <f>160*26.5</f>
        <v>4240</v>
      </c>
      <c r="Q28" s="66"/>
      <c r="R28" s="67"/>
    </row>
    <row r="29" spans="1:18" x14ac:dyDescent="0.25">
      <c r="A29" s="4">
        <v>2</v>
      </c>
      <c r="B29" s="76" t="s">
        <v>7</v>
      </c>
      <c r="C29" s="77">
        <v>11.5</v>
      </c>
      <c r="D29" s="82">
        <v>46.7</v>
      </c>
      <c r="E29" s="42">
        <f t="shared" si="1"/>
        <v>537.05000000000007</v>
      </c>
      <c r="F29" s="22"/>
      <c r="G29" s="59" t="s">
        <v>36</v>
      </c>
      <c r="H29" s="56">
        <v>39.5</v>
      </c>
      <c r="I29" s="22"/>
      <c r="J29" s="62"/>
      <c r="K29" s="63"/>
      <c r="L29" s="66"/>
      <c r="M29" s="67"/>
      <c r="N29" s="22"/>
      <c r="O29" s="62"/>
      <c r="P29" s="63"/>
      <c r="Q29" s="66"/>
      <c r="R29" s="67"/>
    </row>
    <row r="30" spans="1:18" x14ac:dyDescent="0.25">
      <c r="A30" s="25">
        <v>2</v>
      </c>
      <c r="B30" s="78" t="s">
        <v>75</v>
      </c>
      <c r="C30" s="79">
        <v>26.5</v>
      </c>
      <c r="D30" s="83"/>
      <c r="E30" s="43">
        <f t="shared" si="1"/>
        <v>0</v>
      </c>
      <c r="F30" s="22"/>
      <c r="G30" s="59" t="s">
        <v>28</v>
      </c>
      <c r="H30" s="56">
        <f>H28*H29</f>
        <v>1619.5</v>
      </c>
      <c r="I30" s="22"/>
      <c r="J30" s="62"/>
      <c r="K30" s="63"/>
      <c r="L30" s="66"/>
      <c r="M30" s="67"/>
      <c r="N30" s="22"/>
      <c r="O30" s="62"/>
      <c r="P30" s="63"/>
      <c r="Q30" s="66"/>
      <c r="R30" s="67"/>
    </row>
    <row r="31" spans="1:18" x14ac:dyDescent="0.25">
      <c r="A31" s="4">
        <v>3</v>
      </c>
      <c r="B31" s="76" t="s">
        <v>9</v>
      </c>
      <c r="C31" s="77">
        <v>122</v>
      </c>
      <c r="D31" s="82">
        <v>22.4</v>
      </c>
      <c r="E31" s="42">
        <f t="shared" si="1"/>
        <v>2732.7999999999997</v>
      </c>
      <c r="F31" s="22"/>
      <c r="G31" s="60"/>
      <c r="H31" s="58"/>
      <c r="I31" s="22"/>
      <c r="J31" s="62"/>
      <c r="K31" s="63"/>
      <c r="L31" s="66"/>
      <c r="M31" s="67"/>
      <c r="N31" s="22"/>
      <c r="O31" s="62"/>
      <c r="P31" s="63"/>
      <c r="Q31" s="66"/>
      <c r="R31" s="67"/>
    </row>
    <row r="32" spans="1:18" ht="15.6" x14ac:dyDescent="0.3">
      <c r="A32" s="26">
        <v>3</v>
      </c>
      <c r="B32" s="80" t="s">
        <v>31</v>
      </c>
      <c r="C32" s="81">
        <v>11.5</v>
      </c>
      <c r="D32" s="82">
        <v>25.3</v>
      </c>
      <c r="E32" s="42">
        <f t="shared" si="1"/>
        <v>290.95</v>
      </c>
      <c r="F32" s="22"/>
      <c r="G32" s="19" t="s">
        <v>23</v>
      </c>
      <c r="H32" s="37"/>
      <c r="I32" s="22"/>
      <c r="J32" s="32" t="s">
        <v>19</v>
      </c>
      <c r="K32" s="33" t="s">
        <v>16</v>
      </c>
      <c r="L32" s="34" t="s">
        <v>20</v>
      </c>
      <c r="M32" s="35" t="s">
        <v>16</v>
      </c>
      <c r="N32" s="22"/>
      <c r="O32" s="32" t="s">
        <v>19</v>
      </c>
      <c r="P32" s="33" t="s">
        <v>16</v>
      </c>
      <c r="Q32" s="34" t="s">
        <v>20</v>
      </c>
      <c r="R32" s="35" t="s">
        <v>16</v>
      </c>
    </row>
    <row r="33" spans="1:18" x14ac:dyDescent="0.25">
      <c r="A33" s="25">
        <v>3</v>
      </c>
      <c r="B33" s="78" t="s">
        <v>77</v>
      </c>
      <c r="C33" s="79">
        <v>26.5</v>
      </c>
      <c r="D33" s="83"/>
      <c r="E33" s="43">
        <f t="shared" si="1"/>
        <v>0</v>
      </c>
      <c r="F33" s="22"/>
      <c r="G33" s="60" t="s">
        <v>25</v>
      </c>
      <c r="H33" s="57">
        <v>67.900000000000006</v>
      </c>
      <c r="I33" s="22"/>
      <c r="J33" s="62"/>
      <c r="K33" s="63"/>
      <c r="L33" s="68" t="s">
        <v>49</v>
      </c>
      <c r="M33" s="69">
        <v>430</v>
      </c>
      <c r="N33" s="22"/>
      <c r="O33" s="62"/>
      <c r="P33" s="63"/>
      <c r="Q33" s="66" t="s">
        <v>57</v>
      </c>
      <c r="R33" s="67">
        <f>5*26.5</f>
        <v>132.5</v>
      </c>
    </row>
    <row r="34" spans="1:18" x14ac:dyDescent="0.25">
      <c r="A34" s="4">
        <v>4</v>
      </c>
      <c r="B34" s="76" t="s">
        <v>9</v>
      </c>
      <c r="C34" s="77">
        <v>122</v>
      </c>
      <c r="D34" s="82">
        <v>22.4</v>
      </c>
      <c r="E34" s="42">
        <f t="shared" si="1"/>
        <v>2732.7999999999997</v>
      </c>
      <c r="F34" s="22"/>
      <c r="G34" s="60" t="s">
        <v>26</v>
      </c>
      <c r="H34" s="57">
        <v>27.58</v>
      </c>
      <c r="I34" s="22"/>
      <c r="J34" s="62"/>
      <c r="K34" s="63"/>
      <c r="L34" s="68" t="s">
        <v>81</v>
      </c>
      <c r="M34" s="69">
        <f>H37*11.5</f>
        <v>10487.310000000001</v>
      </c>
      <c r="N34" s="22"/>
      <c r="O34" s="62"/>
      <c r="P34" s="63"/>
      <c r="Q34" s="68"/>
      <c r="R34" s="69"/>
    </row>
    <row r="35" spans="1:18" x14ac:dyDescent="0.25">
      <c r="A35" s="4">
        <v>4</v>
      </c>
      <c r="B35" s="76" t="s">
        <v>31</v>
      </c>
      <c r="C35" s="77">
        <v>11.5</v>
      </c>
      <c r="D35" s="82">
        <v>25.3</v>
      </c>
      <c r="E35" s="42">
        <f t="shared" si="1"/>
        <v>290.95</v>
      </c>
      <c r="F35" s="22"/>
      <c r="G35" s="60" t="s">
        <v>24</v>
      </c>
      <c r="H35" s="57">
        <v>18.55</v>
      </c>
      <c r="I35" s="22"/>
      <c r="J35" s="62"/>
      <c r="K35" s="63"/>
      <c r="L35" s="68"/>
      <c r="M35" s="69"/>
      <c r="N35" s="22"/>
      <c r="O35" s="62"/>
      <c r="P35" s="63"/>
      <c r="Q35" s="66"/>
      <c r="R35" s="67"/>
    </row>
    <row r="36" spans="1:18" ht="15.6" thickBot="1" x14ac:dyDescent="0.3">
      <c r="A36" s="25">
        <v>4</v>
      </c>
      <c r="B36" s="78" t="s">
        <v>77</v>
      </c>
      <c r="C36" s="79">
        <v>26.5</v>
      </c>
      <c r="D36" s="83"/>
      <c r="E36" s="43">
        <f t="shared" si="1"/>
        <v>0</v>
      </c>
      <c r="F36" s="22"/>
      <c r="G36" s="61"/>
      <c r="H36" s="61"/>
      <c r="I36" s="22"/>
      <c r="J36" s="64"/>
      <c r="K36" s="65"/>
      <c r="L36" s="70"/>
      <c r="M36" s="71"/>
      <c r="N36" s="22"/>
      <c r="O36" s="64"/>
      <c r="P36" s="65"/>
      <c r="Q36" s="70"/>
      <c r="R36" s="71"/>
    </row>
    <row r="37" spans="1:18" ht="15.6" x14ac:dyDescent="0.3">
      <c r="F37" s="22"/>
      <c r="G37" s="11" t="s">
        <v>100</v>
      </c>
      <c r="H37" s="56">
        <v>911.94</v>
      </c>
      <c r="I37" s="22"/>
      <c r="J37" s="7" t="s">
        <v>21</v>
      </c>
      <c r="K37" s="15">
        <f>SUM(K28:K31,K33:K36)</f>
        <v>15444.5</v>
      </c>
      <c r="L37" s="10" t="s">
        <v>22</v>
      </c>
      <c r="M37" s="14">
        <f>SUM(M28:M31,M33:M36)</f>
        <v>10917.310000000001</v>
      </c>
      <c r="N37" s="22"/>
      <c r="O37" s="7" t="s">
        <v>21</v>
      </c>
      <c r="P37" s="15">
        <f>SUM(P28:P31,P33:P36)</f>
        <v>4240</v>
      </c>
      <c r="Q37" s="10" t="s">
        <v>22</v>
      </c>
      <c r="R37" s="14">
        <f>SUM(R28:R31,R33:R36)</f>
        <v>132.5</v>
      </c>
    </row>
    <row r="38" spans="1:18" ht="15.6" x14ac:dyDescent="0.3">
      <c r="C38" s="89" t="s">
        <v>87</v>
      </c>
      <c r="D38" s="89"/>
      <c r="E38" s="41">
        <f>SUM(E25:E36)/12</f>
        <v>1305.1625000000001</v>
      </c>
      <c r="F38" s="22"/>
      <c r="G38" s="18"/>
      <c r="H38" s="24"/>
      <c r="I38" s="22"/>
      <c r="N38" s="22"/>
    </row>
    <row r="39" spans="1:18" ht="16.2" thickBot="1" x14ac:dyDescent="0.35">
      <c r="F39" s="22"/>
      <c r="G39" s="18" t="s">
        <v>27</v>
      </c>
      <c r="H39" s="24">
        <f>H30-H37</f>
        <v>707.56</v>
      </c>
      <c r="I39" s="22"/>
      <c r="J39" s="1" t="s">
        <v>91</v>
      </c>
      <c r="K39" s="16">
        <f>K37-M37</f>
        <v>4527.1899999999987</v>
      </c>
      <c r="N39" s="22"/>
      <c r="O39" s="1" t="s">
        <v>91</v>
      </c>
      <c r="P39" s="16">
        <f>P37-R37</f>
        <v>4107.5</v>
      </c>
    </row>
    <row r="40" spans="1:18" ht="15.6" thickTop="1" x14ac:dyDescent="0.25">
      <c r="F40" s="22"/>
      <c r="I40" s="22"/>
      <c r="N40" s="22"/>
    </row>
    <row r="41" spans="1:18" x14ac:dyDescent="0.25">
      <c r="F41" s="22"/>
      <c r="G41" s="21"/>
      <c r="H41" s="21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 x14ac:dyDescent="0.25">
      <c r="F42" s="22"/>
      <c r="I42" s="22"/>
      <c r="N42" s="22"/>
    </row>
    <row r="43" spans="1:18" ht="15.6" x14ac:dyDescent="0.3">
      <c r="F43" s="22"/>
      <c r="G43" s="94" t="s">
        <v>30</v>
      </c>
      <c r="H43" s="94"/>
      <c r="I43" s="22"/>
      <c r="J43" s="95" t="s">
        <v>41</v>
      </c>
      <c r="K43" s="95"/>
      <c r="L43" s="95"/>
      <c r="M43" s="95"/>
      <c r="N43" s="22"/>
      <c r="O43" s="95" t="s">
        <v>61</v>
      </c>
      <c r="P43" s="95"/>
      <c r="Q43" s="95"/>
      <c r="R43" s="95"/>
    </row>
    <row r="44" spans="1:18" ht="15.6" x14ac:dyDescent="0.3">
      <c r="F44" s="22"/>
      <c r="G44" s="12"/>
      <c r="H44" s="12"/>
      <c r="I44" s="22"/>
      <c r="N44" s="22"/>
    </row>
    <row r="45" spans="1:18" ht="16.2" thickBot="1" x14ac:dyDescent="0.35">
      <c r="F45" s="22"/>
      <c r="G45" s="13"/>
      <c r="H45" s="13"/>
      <c r="I45" s="23"/>
      <c r="J45" s="90" t="s">
        <v>13</v>
      </c>
      <c r="K45" s="90"/>
      <c r="L45" s="91" t="s">
        <v>14</v>
      </c>
      <c r="M45" s="91"/>
      <c r="N45" s="23"/>
      <c r="O45" s="90" t="s">
        <v>13</v>
      </c>
      <c r="P45" s="90"/>
      <c r="Q45" s="91" t="s">
        <v>14</v>
      </c>
      <c r="R45" s="91"/>
    </row>
    <row r="46" spans="1:18" x14ac:dyDescent="0.25">
      <c r="F46" s="22"/>
      <c r="I46" s="22"/>
      <c r="J46" s="5"/>
      <c r="K46" s="6"/>
      <c r="L46" s="8"/>
      <c r="M46" s="9"/>
      <c r="N46" s="22"/>
      <c r="O46" s="5"/>
      <c r="P46" s="6"/>
      <c r="Q46" s="8"/>
      <c r="R46" s="9"/>
    </row>
    <row r="47" spans="1:18" ht="15.6" x14ac:dyDescent="0.3">
      <c r="F47" s="22"/>
      <c r="G47" s="20" t="s">
        <v>15</v>
      </c>
      <c r="H47" s="36"/>
      <c r="I47" s="22"/>
      <c r="J47" s="32" t="s">
        <v>17</v>
      </c>
      <c r="K47" s="33" t="s">
        <v>16</v>
      </c>
      <c r="L47" s="34" t="s">
        <v>18</v>
      </c>
      <c r="M47" s="35" t="s">
        <v>16</v>
      </c>
      <c r="N47" s="22"/>
      <c r="O47" s="32" t="s">
        <v>17</v>
      </c>
      <c r="P47" s="33" t="s">
        <v>16</v>
      </c>
      <c r="Q47" s="34" t="s">
        <v>18</v>
      </c>
      <c r="R47" s="35" t="s">
        <v>16</v>
      </c>
    </row>
    <row r="48" spans="1:18" x14ac:dyDescent="0.25">
      <c r="F48" s="22"/>
      <c r="G48" s="59" t="s">
        <v>37</v>
      </c>
      <c r="H48" s="58">
        <v>125</v>
      </c>
      <c r="I48" s="22"/>
      <c r="J48" s="62" t="s">
        <v>55</v>
      </c>
      <c r="K48" s="63">
        <f>103*3.7*11.5</f>
        <v>4382.6500000000005</v>
      </c>
      <c r="L48" s="66"/>
      <c r="M48" s="67"/>
      <c r="N48" s="22"/>
      <c r="O48" s="62" t="s">
        <v>88</v>
      </c>
      <c r="P48" s="63">
        <f>160*26.5</f>
        <v>4240</v>
      </c>
      <c r="Q48" s="66"/>
      <c r="R48" s="67"/>
    </row>
    <row r="49" spans="6:18" x14ac:dyDescent="0.25">
      <c r="F49" s="22"/>
      <c r="G49" s="59" t="s">
        <v>38</v>
      </c>
      <c r="H49" s="56">
        <v>3.7</v>
      </c>
      <c r="I49" s="22"/>
      <c r="J49" s="62"/>
      <c r="K49" s="63"/>
      <c r="L49" s="66"/>
      <c r="M49" s="67"/>
      <c r="N49" s="22"/>
      <c r="O49" s="62"/>
      <c r="P49" s="63"/>
      <c r="Q49" s="66"/>
      <c r="R49" s="67"/>
    </row>
    <row r="50" spans="6:18" x14ac:dyDescent="0.25">
      <c r="F50" s="22"/>
      <c r="G50" s="59" t="s">
        <v>28</v>
      </c>
      <c r="H50" s="56">
        <f>H48*H49</f>
        <v>462.5</v>
      </c>
      <c r="I50" s="22"/>
      <c r="J50" s="62"/>
      <c r="K50" s="63"/>
      <c r="L50" s="66"/>
      <c r="M50" s="67"/>
      <c r="N50" s="22"/>
      <c r="O50" s="62"/>
      <c r="P50" s="63"/>
      <c r="Q50" s="66"/>
      <c r="R50" s="67"/>
    </row>
    <row r="51" spans="6:18" x14ac:dyDescent="0.25">
      <c r="F51" s="22"/>
      <c r="G51" s="60"/>
      <c r="H51" s="58"/>
      <c r="I51" s="22"/>
      <c r="J51" s="62"/>
      <c r="K51" s="63"/>
      <c r="L51" s="66"/>
      <c r="M51" s="67"/>
      <c r="N51" s="22"/>
      <c r="O51" s="62"/>
      <c r="P51" s="63"/>
      <c r="Q51" s="66"/>
      <c r="R51" s="67"/>
    </row>
    <row r="52" spans="6:18" ht="15.6" x14ac:dyDescent="0.3">
      <c r="F52" s="22"/>
      <c r="G52" s="74" t="s">
        <v>23</v>
      </c>
      <c r="H52" s="75"/>
      <c r="I52" s="22"/>
      <c r="J52" s="32" t="s">
        <v>19</v>
      </c>
      <c r="K52" s="33" t="s">
        <v>16</v>
      </c>
      <c r="L52" s="34" t="s">
        <v>20</v>
      </c>
      <c r="M52" s="35" t="s">
        <v>16</v>
      </c>
      <c r="N52" s="22"/>
      <c r="O52" s="32" t="s">
        <v>19</v>
      </c>
      <c r="P52" s="33" t="s">
        <v>16</v>
      </c>
      <c r="Q52" s="34" t="s">
        <v>20</v>
      </c>
      <c r="R52" s="35" t="s">
        <v>16</v>
      </c>
    </row>
    <row r="53" spans="6:18" x14ac:dyDescent="0.25">
      <c r="F53" s="22"/>
      <c r="G53" s="60" t="s">
        <v>25</v>
      </c>
      <c r="H53" s="58">
        <v>36.86</v>
      </c>
      <c r="I53" s="22"/>
      <c r="J53" s="62"/>
      <c r="K53" s="63"/>
      <c r="L53" s="68" t="s">
        <v>49</v>
      </c>
      <c r="M53" s="69">
        <v>430</v>
      </c>
      <c r="N53" s="22"/>
      <c r="O53" s="62"/>
      <c r="P53" s="63"/>
      <c r="Q53" s="66" t="s">
        <v>57</v>
      </c>
      <c r="R53" s="67">
        <f>5*26.5</f>
        <v>132.5</v>
      </c>
    </row>
    <row r="54" spans="6:18" x14ac:dyDescent="0.25">
      <c r="F54" s="22"/>
      <c r="G54" s="60" t="s">
        <v>26</v>
      </c>
      <c r="H54" s="58">
        <v>14.97</v>
      </c>
      <c r="I54" s="22"/>
      <c r="J54" s="62"/>
      <c r="K54" s="63"/>
      <c r="L54" s="68" t="s">
        <v>81</v>
      </c>
      <c r="M54" s="69">
        <f>H57*11.5</f>
        <v>3860.2050000000004</v>
      </c>
      <c r="N54" s="22"/>
      <c r="O54" s="62"/>
      <c r="P54" s="63"/>
      <c r="Q54" s="68"/>
      <c r="R54" s="69"/>
    </row>
    <row r="55" spans="6:18" x14ac:dyDescent="0.25">
      <c r="F55" s="22"/>
      <c r="G55" s="60" t="s">
        <v>24</v>
      </c>
      <c r="H55" s="58">
        <v>10.07</v>
      </c>
      <c r="I55" s="22"/>
      <c r="J55" s="62"/>
      <c r="K55" s="63"/>
      <c r="L55" s="68"/>
      <c r="M55" s="69"/>
      <c r="N55" s="22"/>
      <c r="O55" s="62"/>
      <c r="P55" s="63"/>
      <c r="Q55" s="66"/>
      <c r="R55" s="67"/>
    </row>
    <row r="56" spans="6:18" ht="15.6" thickBot="1" x14ac:dyDescent="0.3">
      <c r="F56" s="22"/>
      <c r="G56" s="61"/>
      <c r="H56" s="61"/>
      <c r="I56" s="22"/>
      <c r="J56" s="64"/>
      <c r="K56" s="65"/>
      <c r="L56" s="70"/>
      <c r="M56" s="71"/>
      <c r="N56" s="22"/>
      <c r="O56" s="64"/>
      <c r="P56" s="65"/>
      <c r="Q56" s="70"/>
      <c r="R56" s="71"/>
    </row>
    <row r="57" spans="6:18" ht="15.6" x14ac:dyDescent="0.3">
      <c r="F57" s="22"/>
      <c r="G57" s="11" t="s">
        <v>100</v>
      </c>
      <c r="H57" s="56">
        <v>335.67</v>
      </c>
      <c r="I57" s="22"/>
      <c r="J57" s="7" t="s">
        <v>21</v>
      </c>
      <c r="K57" s="15">
        <f>SUM(K48:K51,K53:K56)</f>
        <v>4382.6500000000005</v>
      </c>
      <c r="L57" s="10" t="s">
        <v>22</v>
      </c>
      <c r="M57" s="14">
        <f>SUM(M48:M51,M53:M56)</f>
        <v>4290.2049999999999</v>
      </c>
      <c r="N57" s="22"/>
      <c r="O57" s="7" t="s">
        <v>21</v>
      </c>
      <c r="P57" s="15">
        <f>SUM(P48:P51,P53:P56)</f>
        <v>4240</v>
      </c>
      <c r="Q57" s="10" t="s">
        <v>22</v>
      </c>
      <c r="R57" s="14">
        <f>SUM(R48:R51,R53:R56)</f>
        <v>132.5</v>
      </c>
    </row>
    <row r="58" spans="6:18" ht="15.6" x14ac:dyDescent="0.3">
      <c r="F58" s="22"/>
      <c r="G58" s="18"/>
      <c r="H58" s="24"/>
      <c r="I58" s="22"/>
      <c r="N58" s="22"/>
    </row>
    <row r="59" spans="6:18" ht="16.2" thickBot="1" x14ac:dyDescent="0.35">
      <c r="F59" s="22"/>
      <c r="G59" s="18" t="s">
        <v>27</v>
      </c>
      <c r="H59" s="24">
        <f>H50-H57</f>
        <v>126.82999999999998</v>
      </c>
      <c r="I59" s="22"/>
      <c r="J59" s="1" t="s">
        <v>91</v>
      </c>
      <c r="K59" s="16">
        <f>K57-M57</f>
        <v>92.445000000000618</v>
      </c>
      <c r="N59" s="22"/>
      <c r="O59" s="1" t="s">
        <v>91</v>
      </c>
      <c r="P59" s="16">
        <f>P57-R57</f>
        <v>4107.5</v>
      </c>
    </row>
    <row r="60" spans="6:18" ht="15.6" thickTop="1" x14ac:dyDescent="0.25"/>
  </sheetData>
  <sheetProtection selectLockedCells="1"/>
  <mergeCells count="25">
    <mergeCell ref="C19:D19"/>
    <mergeCell ref="G23:H23"/>
    <mergeCell ref="J23:M23"/>
    <mergeCell ref="O23:R23"/>
    <mergeCell ref="A1:E1"/>
    <mergeCell ref="A2:E2"/>
    <mergeCell ref="G3:H3"/>
    <mergeCell ref="J3:M3"/>
    <mergeCell ref="O3:R3"/>
    <mergeCell ref="J5:K5"/>
    <mergeCell ref="L5:M5"/>
    <mergeCell ref="O5:P5"/>
    <mergeCell ref="Q5:R5"/>
    <mergeCell ref="J25:K25"/>
    <mergeCell ref="L25:M25"/>
    <mergeCell ref="O25:P25"/>
    <mergeCell ref="Q25:R25"/>
    <mergeCell ref="G43:H43"/>
    <mergeCell ref="J43:M43"/>
    <mergeCell ref="O43:R43"/>
    <mergeCell ref="J45:K45"/>
    <mergeCell ref="L45:M45"/>
    <mergeCell ref="O45:P45"/>
    <mergeCell ref="Q45:R45"/>
    <mergeCell ref="C38:D38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5013-CED5-431E-A56D-677239A4365A}">
  <sheetPr>
    <tabColor rgb="FF0000CC"/>
  </sheetPr>
  <dimension ref="A1:R60"/>
  <sheetViews>
    <sheetView workbookViewId="0">
      <selection activeCell="H54" sqref="H54"/>
    </sheetView>
  </sheetViews>
  <sheetFormatPr defaultRowHeight="15" x14ac:dyDescent="0.25"/>
  <cols>
    <col min="1" max="1" width="9.08984375" customWidth="1"/>
    <col min="2" max="2" width="27.26953125" customWidth="1"/>
    <col min="3" max="3" width="9.08984375" customWidth="1"/>
    <col min="4" max="5" width="12.26953125" customWidth="1"/>
    <col min="6" max="6" width="2.26953125" customWidth="1"/>
    <col min="7" max="7" width="20.453125" style="11" customWidth="1"/>
    <col min="8" max="8" width="18.1796875" style="11" customWidth="1"/>
    <col min="9" max="9" width="2.26953125" customWidth="1"/>
    <col min="10" max="10" width="22.7265625" customWidth="1"/>
    <col min="11" max="11" width="11.36328125" customWidth="1"/>
    <col min="12" max="12" width="20.453125" customWidth="1"/>
    <col min="13" max="13" width="11.36328125" customWidth="1"/>
    <col min="14" max="14" width="2.26953125" customWidth="1"/>
    <col min="15" max="15" width="22.7265625" customWidth="1"/>
    <col min="16" max="16" width="11.36328125" customWidth="1"/>
    <col min="17" max="17" width="20.453125" customWidth="1"/>
    <col min="18" max="18" width="11.36328125" customWidth="1"/>
  </cols>
  <sheetData>
    <row r="1" spans="1:18" ht="21" x14ac:dyDescent="0.4">
      <c r="A1" s="92" t="s">
        <v>58</v>
      </c>
      <c r="B1" s="92"/>
      <c r="C1" s="92"/>
      <c r="D1" s="92"/>
      <c r="E1" s="92"/>
      <c r="F1" s="22"/>
      <c r="I1" s="22"/>
      <c r="N1" s="22"/>
    </row>
    <row r="2" spans="1:18" ht="21" x14ac:dyDescent="0.4">
      <c r="A2" s="93" t="s">
        <v>48</v>
      </c>
      <c r="B2" s="93"/>
      <c r="C2" s="93"/>
      <c r="D2" s="93"/>
      <c r="E2" s="93"/>
      <c r="F2" s="22"/>
      <c r="I2" s="22"/>
      <c r="N2" s="22"/>
    </row>
    <row r="3" spans="1:18" ht="15.6" x14ac:dyDescent="0.3">
      <c r="A3" s="1"/>
      <c r="D3" s="2"/>
      <c r="E3" s="2"/>
      <c r="F3" s="22"/>
      <c r="G3" s="94" t="s">
        <v>12</v>
      </c>
      <c r="H3" s="94"/>
      <c r="I3" s="87"/>
      <c r="J3" s="95" t="s">
        <v>39</v>
      </c>
      <c r="K3" s="95"/>
      <c r="L3" s="95"/>
      <c r="M3" s="95"/>
      <c r="N3" s="87"/>
      <c r="O3" s="95" t="s">
        <v>59</v>
      </c>
      <c r="P3" s="95"/>
      <c r="Q3" s="95"/>
      <c r="R3" s="95"/>
    </row>
    <row r="4" spans="1:18" ht="15.6" x14ac:dyDescent="0.3">
      <c r="D4" s="2" t="s">
        <v>90</v>
      </c>
      <c r="E4" s="2" t="s">
        <v>11</v>
      </c>
      <c r="F4" s="22"/>
      <c r="G4" s="12"/>
      <c r="H4" s="12"/>
      <c r="I4" s="22"/>
      <c r="J4" s="2"/>
      <c r="N4" s="22"/>
      <c r="O4" s="2"/>
    </row>
    <row r="5" spans="1:18" s="2" customFormat="1" ht="16.2" thickBot="1" x14ac:dyDescent="0.35">
      <c r="A5" s="3" t="s">
        <v>0</v>
      </c>
      <c r="B5" s="3" t="s">
        <v>1</v>
      </c>
      <c r="C5" s="3" t="s">
        <v>2</v>
      </c>
      <c r="D5" s="3" t="s">
        <v>10</v>
      </c>
      <c r="E5" s="3" t="s">
        <v>90</v>
      </c>
      <c r="F5" s="23"/>
      <c r="G5" s="13"/>
      <c r="H5" s="13"/>
      <c r="I5" s="23"/>
      <c r="J5" s="90" t="s">
        <v>13</v>
      </c>
      <c r="K5" s="90"/>
      <c r="L5" s="91" t="s">
        <v>14</v>
      </c>
      <c r="M5" s="91"/>
      <c r="N5" s="23"/>
      <c r="O5" s="90" t="s">
        <v>13</v>
      </c>
      <c r="P5" s="90"/>
      <c r="Q5" s="91" t="s">
        <v>14</v>
      </c>
      <c r="R5" s="91"/>
    </row>
    <row r="6" spans="1:18" x14ac:dyDescent="0.25">
      <c r="A6" s="4">
        <v>1</v>
      </c>
      <c r="B6" s="76" t="s">
        <v>3</v>
      </c>
      <c r="C6" s="77">
        <v>122</v>
      </c>
      <c r="D6" s="28">
        <f>H19</f>
        <v>1297.95</v>
      </c>
      <c r="E6" s="27">
        <f>C6*D6</f>
        <v>158349.9</v>
      </c>
      <c r="F6" s="22"/>
      <c r="I6" s="22"/>
      <c r="J6" s="5"/>
      <c r="K6" s="6"/>
      <c r="L6" s="8"/>
      <c r="M6" s="9"/>
      <c r="N6" s="22"/>
      <c r="O6" s="5"/>
      <c r="P6" s="6"/>
      <c r="Q6" s="8"/>
      <c r="R6" s="9"/>
    </row>
    <row r="7" spans="1:18" ht="15.6" x14ac:dyDescent="0.3">
      <c r="A7" s="4">
        <v>1</v>
      </c>
      <c r="B7" s="76" t="s">
        <v>72</v>
      </c>
      <c r="C7" s="77">
        <v>11.5</v>
      </c>
      <c r="D7" s="28">
        <f>K19/C7</f>
        <v>185</v>
      </c>
      <c r="E7" s="27">
        <f t="shared" ref="E7:E17" si="0">C7*D7</f>
        <v>2127.5</v>
      </c>
      <c r="F7" s="22"/>
      <c r="G7" s="20" t="s">
        <v>15</v>
      </c>
      <c r="H7" s="36"/>
      <c r="I7" s="22"/>
      <c r="J7" s="32" t="s">
        <v>17</v>
      </c>
      <c r="K7" s="33" t="s">
        <v>16</v>
      </c>
      <c r="L7" s="34" t="s">
        <v>18</v>
      </c>
      <c r="M7" s="35" t="s">
        <v>16</v>
      </c>
      <c r="N7" s="22"/>
      <c r="O7" s="32" t="s">
        <v>17</v>
      </c>
      <c r="P7" s="33" t="s">
        <v>16</v>
      </c>
      <c r="Q7" s="34" t="s">
        <v>18</v>
      </c>
      <c r="R7" s="35" t="s">
        <v>16</v>
      </c>
    </row>
    <row r="8" spans="1:18" x14ac:dyDescent="0.25">
      <c r="A8" s="25">
        <v>1</v>
      </c>
      <c r="B8" s="78" t="s">
        <v>73</v>
      </c>
      <c r="C8" s="79">
        <v>26.5</v>
      </c>
      <c r="D8" s="29">
        <f>P19/C8</f>
        <v>185</v>
      </c>
      <c r="E8" s="44">
        <f t="shared" si="0"/>
        <v>4902.5</v>
      </c>
      <c r="F8" s="22"/>
      <c r="G8" s="59" t="s">
        <v>33</v>
      </c>
      <c r="H8" s="58">
        <v>420</v>
      </c>
      <c r="I8" s="22"/>
      <c r="J8" s="62" t="s">
        <v>89</v>
      </c>
      <c r="K8" s="63">
        <f>160*11.5</f>
        <v>1840</v>
      </c>
      <c r="L8" s="66"/>
      <c r="M8" s="67"/>
      <c r="N8" s="22"/>
      <c r="O8" s="62" t="s">
        <v>88</v>
      </c>
      <c r="P8" s="63">
        <f>160*26.5</f>
        <v>4240</v>
      </c>
      <c r="Q8" s="66"/>
      <c r="R8" s="67"/>
    </row>
    <row r="9" spans="1:18" x14ac:dyDescent="0.25">
      <c r="A9" s="4">
        <v>2</v>
      </c>
      <c r="B9" s="76" t="s">
        <v>6</v>
      </c>
      <c r="C9" s="77">
        <v>122</v>
      </c>
      <c r="D9" s="28">
        <f>H39</f>
        <v>707.56</v>
      </c>
      <c r="E9" s="27">
        <f t="shared" si="0"/>
        <v>86322.319999999992</v>
      </c>
      <c r="F9" s="22"/>
      <c r="G9" s="59" t="s">
        <v>34</v>
      </c>
      <c r="H9" s="56">
        <v>7.5</v>
      </c>
      <c r="I9" s="22"/>
      <c r="J9" s="62" t="s">
        <v>56</v>
      </c>
      <c r="K9" s="63">
        <f>30*11.5</f>
        <v>345</v>
      </c>
      <c r="L9" s="66"/>
      <c r="M9" s="67"/>
      <c r="N9" s="22"/>
      <c r="O9" s="62" t="s">
        <v>56</v>
      </c>
      <c r="P9" s="63">
        <f>30*26.5</f>
        <v>795</v>
      </c>
      <c r="Q9" s="66"/>
      <c r="R9" s="67"/>
    </row>
    <row r="10" spans="1:18" x14ac:dyDescent="0.25">
      <c r="A10" s="4">
        <v>2</v>
      </c>
      <c r="B10" s="76" t="s">
        <v>74</v>
      </c>
      <c r="C10" s="77">
        <v>11.5</v>
      </c>
      <c r="D10" s="28">
        <f>K39/C10</f>
        <v>155</v>
      </c>
      <c r="E10" s="27">
        <f t="shared" si="0"/>
        <v>1782.5</v>
      </c>
      <c r="F10" s="22"/>
      <c r="G10" s="59" t="s">
        <v>28</v>
      </c>
      <c r="H10" s="56">
        <f>H8*H9</f>
        <v>3150</v>
      </c>
      <c r="I10" s="22"/>
      <c r="J10" s="62"/>
      <c r="K10" s="63"/>
      <c r="L10" s="66"/>
      <c r="M10" s="67"/>
      <c r="N10" s="22"/>
      <c r="O10" s="72"/>
      <c r="P10" s="73"/>
      <c r="Q10" s="66"/>
      <c r="R10" s="67"/>
    </row>
    <row r="11" spans="1:18" x14ac:dyDescent="0.25">
      <c r="A11" s="25">
        <v>2</v>
      </c>
      <c r="B11" s="78" t="s">
        <v>75</v>
      </c>
      <c r="C11" s="79">
        <v>26.5</v>
      </c>
      <c r="D11" s="29">
        <f>P39/C11</f>
        <v>155</v>
      </c>
      <c r="E11" s="44">
        <f t="shared" si="0"/>
        <v>4107.5</v>
      </c>
      <c r="F11" s="22"/>
      <c r="G11" s="60"/>
      <c r="H11" s="58"/>
      <c r="I11" s="22"/>
      <c r="J11" s="62"/>
      <c r="K11" s="63"/>
      <c r="L11" s="66"/>
      <c r="M11" s="67"/>
      <c r="N11" s="22"/>
      <c r="O11" s="62"/>
      <c r="P11" s="63"/>
      <c r="Q11" s="66"/>
      <c r="R11" s="67"/>
    </row>
    <row r="12" spans="1:18" ht="15.6" x14ac:dyDescent="0.3">
      <c r="A12" s="4">
        <v>3</v>
      </c>
      <c r="B12" s="76" t="s">
        <v>9</v>
      </c>
      <c r="C12" s="77">
        <v>122</v>
      </c>
      <c r="D12" s="28">
        <f>H59</f>
        <v>126.82999999999998</v>
      </c>
      <c r="E12" s="27">
        <f t="shared" si="0"/>
        <v>15473.259999999998</v>
      </c>
      <c r="F12" s="22"/>
      <c r="G12" s="74" t="s">
        <v>23</v>
      </c>
      <c r="H12" s="84"/>
      <c r="I12" s="22"/>
      <c r="J12" s="32" t="s">
        <v>19</v>
      </c>
      <c r="K12" s="33" t="s">
        <v>16</v>
      </c>
      <c r="L12" s="34" t="s">
        <v>20</v>
      </c>
      <c r="M12" s="35" t="s">
        <v>16</v>
      </c>
      <c r="N12" s="22"/>
      <c r="O12" s="32" t="s">
        <v>19</v>
      </c>
      <c r="P12" s="33" t="s">
        <v>16</v>
      </c>
      <c r="Q12" s="34" t="s">
        <v>20</v>
      </c>
      <c r="R12" s="35" t="s">
        <v>16</v>
      </c>
    </row>
    <row r="13" spans="1:18" x14ac:dyDescent="0.25">
      <c r="A13" s="26">
        <v>3</v>
      </c>
      <c r="B13" s="80" t="s">
        <v>76</v>
      </c>
      <c r="C13" s="81">
        <v>11.5</v>
      </c>
      <c r="D13" s="30">
        <f>K59/C13</f>
        <v>155</v>
      </c>
      <c r="E13" s="27">
        <f t="shared" si="0"/>
        <v>1782.5</v>
      </c>
      <c r="F13" s="22"/>
      <c r="G13" s="60" t="s">
        <v>25</v>
      </c>
      <c r="H13" s="57">
        <v>49.47</v>
      </c>
      <c r="I13" s="22"/>
      <c r="J13" s="62"/>
      <c r="K13" s="63"/>
      <c r="L13" s="66" t="s">
        <v>57</v>
      </c>
      <c r="M13" s="67">
        <f>5*11.5</f>
        <v>57.5</v>
      </c>
      <c r="N13" s="22"/>
      <c r="O13" s="62"/>
      <c r="P13" s="63"/>
      <c r="Q13" s="66" t="s">
        <v>57</v>
      </c>
      <c r="R13" s="67">
        <f>5*26.5</f>
        <v>132.5</v>
      </c>
    </row>
    <row r="14" spans="1:18" x14ac:dyDescent="0.25">
      <c r="A14" s="25">
        <v>3</v>
      </c>
      <c r="B14" s="78" t="s">
        <v>77</v>
      </c>
      <c r="C14" s="79">
        <v>26.5</v>
      </c>
      <c r="D14" s="29">
        <f>P59/C14</f>
        <v>155</v>
      </c>
      <c r="E14" s="44">
        <f t="shared" si="0"/>
        <v>4107.5</v>
      </c>
      <c r="F14" s="22"/>
      <c r="G14" s="60" t="s">
        <v>26</v>
      </c>
      <c r="H14" s="57">
        <v>20.09</v>
      </c>
      <c r="I14" s="22"/>
      <c r="J14" s="62"/>
      <c r="K14" s="63"/>
      <c r="L14" s="68"/>
      <c r="M14" s="69"/>
      <c r="N14" s="22"/>
      <c r="O14" s="62"/>
      <c r="P14" s="63"/>
      <c r="Q14" s="68"/>
      <c r="R14" s="69"/>
    </row>
    <row r="15" spans="1:18" x14ac:dyDescent="0.25">
      <c r="A15" s="4">
        <v>4</v>
      </c>
      <c r="B15" s="76" t="s">
        <v>9</v>
      </c>
      <c r="C15" s="77">
        <v>122</v>
      </c>
      <c r="D15" s="28">
        <f>H59</f>
        <v>126.82999999999998</v>
      </c>
      <c r="E15" s="27">
        <f t="shared" si="0"/>
        <v>15473.259999999998</v>
      </c>
      <c r="F15" s="22"/>
      <c r="G15" s="60" t="s">
        <v>24</v>
      </c>
      <c r="H15" s="57">
        <v>13.52</v>
      </c>
      <c r="I15" s="22"/>
      <c r="J15" s="62"/>
      <c r="K15" s="63"/>
      <c r="L15" s="66"/>
      <c r="M15" s="67"/>
      <c r="N15" s="22"/>
      <c r="O15" s="62"/>
      <c r="P15" s="63"/>
      <c r="Q15" s="66"/>
      <c r="R15" s="67"/>
    </row>
    <row r="16" spans="1:18" ht="15.6" thickBot="1" x14ac:dyDescent="0.3">
      <c r="A16" s="4">
        <v>4</v>
      </c>
      <c r="B16" s="76" t="s">
        <v>78</v>
      </c>
      <c r="C16" s="77">
        <v>11.5</v>
      </c>
      <c r="D16" s="28">
        <f>K59/C16</f>
        <v>155</v>
      </c>
      <c r="E16" s="27">
        <f t="shared" si="0"/>
        <v>1782.5</v>
      </c>
      <c r="F16" s="22"/>
      <c r="G16" s="61"/>
      <c r="H16" s="61"/>
      <c r="I16" s="22"/>
      <c r="J16" s="64"/>
      <c r="K16" s="65"/>
      <c r="L16" s="70"/>
      <c r="M16" s="71"/>
      <c r="N16" s="22"/>
      <c r="O16" s="64"/>
      <c r="P16" s="65"/>
      <c r="Q16" s="70"/>
      <c r="R16" s="71"/>
    </row>
    <row r="17" spans="1:18" ht="15.6" x14ac:dyDescent="0.3">
      <c r="A17" s="25">
        <v>4</v>
      </c>
      <c r="B17" s="78" t="s">
        <v>77</v>
      </c>
      <c r="C17" s="79">
        <v>26.5</v>
      </c>
      <c r="D17" s="29">
        <f>P59/C17</f>
        <v>155</v>
      </c>
      <c r="E17" s="44">
        <f t="shared" si="0"/>
        <v>4107.5</v>
      </c>
      <c r="F17" s="22"/>
      <c r="G17" s="11" t="s">
        <v>100</v>
      </c>
      <c r="H17" s="56">
        <v>1852.05</v>
      </c>
      <c r="I17" s="22"/>
      <c r="J17" s="7" t="s">
        <v>21</v>
      </c>
      <c r="K17" s="15">
        <f>SUM(K8:K11,K13:K16)</f>
        <v>2185</v>
      </c>
      <c r="L17" s="10" t="s">
        <v>22</v>
      </c>
      <c r="M17" s="14">
        <f>SUM(M8:M11,M13:M16)</f>
        <v>57.5</v>
      </c>
      <c r="N17" s="22"/>
      <c r="O17" s="7" t="s">
        <v>21</v>
      </c>
      <c r="P17" s="15">
        <f>SUM(P8:P11,P13:P16)</f>
        <v>5035</v>
      </c>
      <c r="Q17" s="10" t="s">
        <v>22</v>
      </c>
      <c r="R17" s="14">
        <f>SUM(R8:R11,R13:R16)</f>
        <v>132.5</v>
      </c>
    </row>
    <row r="18" spans="1:18" ht="15.6" x14ac:dyDescent="0.3">
      <c r="F18" s="22"/>
      <c r="G18" s="18"/>
      <c r="H18" s="24"/>
      <c r="I18" s="22"/>
      <c r="N18" s="22"/>
    </row>
    <row r="19" spans="1:18" ht="16.2" thickBot="1" x14ac:dyDescent="0.35">
      <c r="C19" s="89" t="s">
        <v>92</v>
      </c>
      <c r="D19" s="89"/>
      <c r="E19" s="31">
        <f>SUM(E6:E17)</f>
        <v>300318.74</v>
      </c>
      <c r="F19" s="22"/>
      <c r="G19" s="18" t="s">
        <v>27</v>
      </c>
      <c r="H19" s="24">
        <f>H10-H17</f>
        <v>1297.95</v>
      </c>
      <c r="I19" s="22"/>
      <c r="J19" s="1" t="s">
        <v>91</v>
      </c>
      <c r="K19" s="16">
        <f>K17-M17</f>
        <v>2127.5</v>
      </c>
      <c r="N19" s="22"/>
      <c r="O19" s="1" t="s">
        <v>91</v>
      </c>
      <c r="P19" s="16">
        <f>P17-R17</f>
        <v>4902.5</v>
      </c>
    </row>
    <row r="20" spans="1:18" ht="16.2" thickTop="1" x14ac:dyDescent="0.3">
      <c r="C20" s="39"/>
      <c r="D20" s="39"/>
      <c r="F20" s="22"/>
      <c r="I20" s="22"/>
      <c r="N20" s="22"/>
    </row>
    <row r="21" spans="1:18" ht="15.6" x14ac:dyDescent="0.3">
      <c r="C21" s="39"/>
      <c r="D21" s="39"/>
      <c r="F21" s="22"/>
      <c r="G21" s="21"/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15.6" x14ac:dyDescent="0.3">
      <c r="D22" s="38" t="s">
        <v>82</v>
      </c>
      <c r="E22" s="38" t="s">
        <v>11</v>
      </c>
      <c r="F22" s="22"/>
      <c r="I22" s="22"/>
      <c r="N22" s="22"/>
    </row>
    <row r="23" spans="1:18" ht="15.6" x14ac:dyDescent="0.3">
      <c r="D23" s="38" t="s">
        <v>10</v>
      </c>
      <c r="E23" s="38" t="s">
        <v>82</v>
      </c>
      <c r="F23" s="22"/>
      <c r="G23" s="94" t="s">
        <v>29</v>
      </c>
      <c r="H23" s="94"/>
      <c r="I23" s="87"/>
      <c r="J23" s="95" t="s">
        <v>40</v>
      </c>
      <c r="K23" s="95"/>
      <c r="L23" s="95"/>
      <c r="M23" s="95"/>
      <c r="N23" s="87"/>
      <c r="O23" s="95" t="s">
        <v>60</v>
      </c>
      <c r="P23" s="95"/>
      <c r="Q23" s="95"/>
      <c r="R23" s="95"/>
    </row>
    <row r="24" spans="1:18" ht="16.2" thickBot="1" x14ac:dyDescent="0.35">
      <c r="A24" s="3" t="s">
        <v>0</v>
      </c>
      <c r="B24" s="3" t="s">
        <v>1</v>
      </c>
      <c r="C24" s="3" t="s">
        <v>2</v>
      </c>
      <c r="D24" s="40" t="s">
        <v>83</v>
      </c>
      <c r="E24" s="40" t="s">
        <v>83</v>
      </c>
      <c r="F24" s="22"/>
      <c r="G24" s="12"/>
      <c r="H24" s="12"/>
      <c r="I24" s="22"/>
      <c r="N24" s="22"/>
    </row>
    <row r="25" spans="1:18" ht="16.2" thickBot="1" x14ac:dyDescent="0.35">
      <c r="A25" s="4">
        <v>1</v>
      </c>
      <c r="B25" s="76" t="s">
        <v>3</v>
      </c>
      <c r="C25" s="77">
        <v>122</v>
      </c>
      <c r="D25" s="82">
        <v>30</v>
      </c>
      <c r="E25" s="42">
        <f>D25*C25</f>
        <v>3660</v>
      </c>
      <c r="F25" s="22"/>
      <c r="G25" s="13"/>
      <c r="H25" s="13"/>
      <c r="I25" s="23"/>
      <c r="J25" s="90" t="s">
        <v>13</v>
      </c>
      <c r="K25" s="90"/>
      <c r="L25" s="91" t="s">
        <v>14</v>
      </c>
      <c r="M25" s="91"/>
      <c r="N25" s="23"/>
      <c r="O25" s="90" t="s">
        <v>13</v>
      </c>
      <c r="P25" s="90"/>
      <c r="Q25" s="91" t="s">
        <v>14</v>
      </c>
      <c r="R25" s="91"/>
    </row>
    <row r="26" spans="1:18" x14ac:dyDescent="0.25">
      <c r="A26" s="4">
        <v>1</v>
      </c>
      <c r="B26" s="76" t="s">
        <v>72</v>
      </c>
      <c r="C26" s="77">
        <v>11.5</v>
      </c>
      <c r="D26" s="82"/>
      <c r="E26" s="42">
        <f t="shared" ref="E26:E36" si="1">D26*C26</f>
        <v>0</v>
      </c>
      <c r="F26" s="22"/>
      <c r="I26" s="22"/>
      <c r="J26" s="5"/>
      <c r="K26" s="6"/>
      <c r="L26" s="8"/>
      <c r="M26" s="9"/>
      <c r="N26" s="22"/>
      <c r="O26" s="5"/>
      <c r="P26" s="6"/>
      <c r="Q26" s="8"/>
      <c r="R26" s="9"/>
    </row>
    <row r="27" spans="1:18" ht="15.6" x14ac:dyDescent="0.3">
      <c r="A27" s="25">
        <v>1</v>
      </c>
      <c r="B27" s="78" t="s">
        <v>73</v>
      </c>
      <c r="C27" s="79">
        <v>26.5</v>
      </c>
      <c r="D27" s="83"/>
      <c r="E27" s="43">
        <f t="shared" si="1"/>
        <v>0</v>
      </c>
      <c r="F27" s="22"/>
      <c r="G27" s="20" t="s">
        <v>15</v>
      </c>
      <c r="H27" s="36"/>
      <c r="I27" s="22"/>
      <c r="J27" s="32" t="s">
        <v>17</v>
      </c>
      <c r="K27" s="33" t="s">
        <v>16</v>
      </c>
      <c r="L27" s="34" t="s">
        <v>18</v>
      </c>
      <c r="M27" s="35" t="s">
        <v>16</v>
      </c>
      <c r="N27" s="22"/>
      <c r="O27" s="32" t="s">
        <v>17</v>
      </c>
      <c r="P27" s="33" t="s">
        <v>16</v>
      </c>
      <c r="Q27" s="34" t="s">
        <v>18</v>
      </c>
      <c r="R27" s="35" t="s">
        <v>16</v>
      </c>
    </row>
    <row r="28" spans="1:18" x14ac:dyDescent="0.25">
      <c r="A28" s="4">
        <v>2</v>
      </c>
      <c r="B28" s="76" t="s">
        <v>6</v>
      </c>
      <c r="C28" s="77">
        <v>122</v>
      </c>
      <c r="D28" s="82">
        <v>41.2</v>
      </c>
      <c r="E28" s="42">
        <f t="shared" si="1"/>
        <v>5026.4000000000005</v>
      </c>
      <c r="F28" s="22"/>
      <c r="G28" s="59" t="s">
        <v>35</v>
      </c>
      <c r="H28" s="58">
        <v>41</v>
      </c>
      <c r="I28" s="22"/>
      <c r="J28" s="62" t="s">
        <v>88</v>
      </c>
      <c r="K28" s="63">
        <f>160*11.5</f>
        <v>1840</v>
      </c>
      <c r="L28" s="66"/>
      <c r="M28" s="67"/>
      <c r="N28" s="22"/>
      <c r="O28" s="62" t="s">
        <v>88</v>
      </c>
      <c r="P28" s="63">
        <f>160*26.5</f>
        <v>4240</v>
      </c>
      <c r="Q28" s="66"/>
      <c r="R28" s="67"/>
    </row>
    <row r="29" spans="1:18" x14ac:dyDescent="0.25">
      <c r="A29" s="4">
        <v>2</v>
      </c>
      <c r="B29" s="76" t="s">
        <v>74</v>
      </c>
      <c r="C29" s="77">
        <v>11.5</v>
      </c>
      <c r="D29" s="82"/>
      <c r="E29" s="42">
        <f t="shared" si="1"/>
        <v>0</v>
      </c>
      <c r="F29" s="22"/>
      <c r="G29" s="59" t="s">
        <v>36</v>
      </c>
      <c r="H29" s="56">
        <v>39.5</v>
      </c>
      <c r="I29" s="22"/>
      <c r="J29" s="62"/>
      <c r="K29" s="63"/>
      <c r="L29" s="66"/>
      <c r="M29" s="67"/>
      <c r="N29" s="22"/>
      <c r="O29" s="62"/>
      <c r="P29" s="63"/>
      <c r="Q29" s="66"/>
      <c r="R29" s="67"/>
    </row>
    <row r="30" spans="1:18" x14ac:dyDescent="0.25">
      <c r="A30" s="25">
        <v>2</v>
      </c>
      <c r="B30" s="78" t="s">
        <v>75</v>
      </c>
      <c r="C30" s="79">
        <v>26.5</v>
      </c>
      <c r="D30" s="83"/>
      <c r="E30" s="43">
        <f t="shared" si="1"/>
        <v>0</v>
      </c>
      <c r="F30" s="22"/>
      <c r="G30" s="59" t="s">
        <v>28</v>
      </c>
      <c r="H30" s="56">
        <f>H28*H29</f>
        <v>1619.5</v>
      </c>
      <c r="I30" s="22"/>
      <c r="J30" s="62"/>
      <c r="K30" s="63"/>
      <c r="L30" s="66"/>
      <c r="M30" s="67"/>
      <c r="N30" s="22"/>
      <c r="O30" s="62"/>
      <c r="P30" s="63"/>
      <c r="Q30" s="66"/>
      <c r="R30" s="67"/>
    </row>
    <row r="31" spans="1:18" x14ac:dyDescent="0.25">
      <c r="A31" s="4">
        <v>3</v>
      </c>
      <c r="B31" s="76" t="s">
        <v>9</v>
      </c>
      <c r="C31" s="77">
        <v>122</v>
      </c>
      <c r="D31" s="82">
        <v>22.4</v>
      </c>
      <c r="E31" s="42">
        <f t="shared" si="1"/>
        <v>2732.7999999999997</v>
      </c>
      <c r="F31" s="22"/>
      <c r="G31" s="60"/>
      <c r="H31" s="58"/>
      <c r="I31" s="22"/>
      <c r="J31" s="62"/>
      <c r="K31" s="63"/>
      <c r="L31" s="66"/>
      <c r="M31" s="67"/>
      <c r="N31" s="22"/>
      <c r="O31" s="62"/>
      <c r="P31" s="63"/>
      <c r="Q31" s="66"/>
      <c r="R31" s="67"/>
    </row>
    <row r="32" spans="1:18" ht="15.6" x14ac:dyDescent="0.3">
      <c r="A32" s="26">
        <v>3</v>
      </c>
      <c r="B32" s="80" t="s">
        <v>76</v>
      </c>
      <c r="C32" s="81">
        <v>11.5</v>
      </c>
      <c r="D32" s="82"/>
      <c r="E32" s="42">
        <f t="shared" si="1"/>
        <v>0</v>
      </c>
      <c r="F32" s="22"/>
      <c r="G32" s="19" t="s">
        <v>23</v>
      </c>
      <c r="H32" s="37"/>
      <c r="I32" s="22"/>
      <c r="J32" s="32" t="s">
        <v>19</v>
      </c>
      <c r="K32" s="33" t="s">
        <v>16</v>
      </c>
      <c r="L32" s="34" t="s">
        <v>20</v>
      </c>
      <c r="M32" s="35" t="s">
        <v>16</v>
      </c>
      <c r="N32" s="22"/>
      <c r="O32" s="32" t="s">
        <v>19</v>
      </c>
      <c r="P32" s="33" t="s">
        <v>16</v>
      </c>
      <c r="Q32" s="34" t="s">
        <v>20</v>
      </c>
      <c r="R32" s="35" t="s">
        <v>16</v>
      </c>
    </row>
    <row r="33" spans="1:18" x14ac:dyDescent="0.25">
      <c r="A33" s="25">
        <v>3</v>
      </c>
      <c r="B33" s="78" t="s">
        <v>77</v>
      </c>
      <c r="C33" s="79">
        <v>26.5</v>
      </c>
      <c r="D33" s="83"/>
      <c r="E33" s="43">
        <f t="shared" si="1"/>
        <v>0</v>
      </c>
      <c r="F33" s="22"/>
      <c r="G33" s="60" t="s">
        <v>25</v>
      </c>
      <c r="H33" s="57">
        <v>67.900000000000006</v>
      </c>
      <c r="I33" s="22"/>
      <c r="J33" s="62"/>
      <c r="K33" s="63"/>
      <c r="L33" s="66" t="s">
        <v>57</v>
      </c>
      <c r="M33" s="67">
        <f>5*11.5</f>
        <v>57.5</v>
      </c>
      <c r="N33" s="22"/>
      <c r="O33" s="62"/>
      <c r="P33" s="63"/>
      <c r="Q33" s="66" t="s">
        <v>57</v>
      </c>
      <c r="R33" s="67">
        <f>5*26.5</f>
        <v>132.5</v>
      </c>
    </row>
    <row r="34" spans="1:18" x14ac:dyDescent="0.25">
      <c r="A34" s="4">
        <v>4</v>
      </c>
      <c r="B34" s="76" t="s">
        <v>9</v>
      </c>
      <c r="C34" s="77">
        <v>122</v>
      </c>
      <c r="D34" s="82">
        <v>22.4</v>
      </c>
      <c r="E34" s="42">
        <f t="shared" si="1"/>
        <v>2732.7999999999997</v>
      </c>
      <c r="F34" s="22"/>
      <c r="G34" s="60" t="s">
        <v>26</v>
      </c>
      <c r="H34" s="57">
        <v>27.58</v>
      </c>
      <c r="I34" s="22"/>
      <c r="J34" s="62"/>
      <c r="K34" s="63"/>
      <c r="L34" s="68"/>
      <c r="M34" s="69"/>
      <c r="N34" s="22"/>
      <c r="O34" s="62"/>
      <c r="P34" s="63"/>
      <c r="Q34" s="68"/>
      <c r="R34" s="69"/>
    </row>
    <row r="35" spans="1:18" x14ac:dyDescent="0.25">
      <c r="A35" s="4">
        <v>4</v>
      </c>
      <c r="B35" s="76" t="s">
        <v>78</v>
      </c>
      <c r="C35" s="77">
        <v>11.5</v>
      </c>
      <c r="D35" s="82"/>
      <c r="E35" s="42">
        <f t="shared" si="1"/>
        <v>0</v>
      </c>
      <c r="F35" s="22"/>
      <c r="G35" s="60" t="s">
        <v>24</v>
      </c>
      <c r="H35" s="57">
        <v>18.55</v>
      </c>
      <c r="I35" s="22"/>
      <c r="J35" s="62"/>
      <c r="K35" s="63"/>
      <c r="L35" s="66"/>
      <c r="M35" s="67"/>
      <c r="N35" s="22"/>
      <c r="O35" s="62"/>
      <c r="P35" s="63"/>
      <c r="Q35" s="66"/>
      <c r="R35" s="67"/>
    </row>
    <row r="36" spans="1:18" ht="15.6" thickBot="1" x14ac:dyDescent="0.3">
      <c r="A36" s="25">
        <v>4</v>
      </c>
      <c r="B36" s="78" t="s">
        <v>77</v>
      </c>
      <c r="C36" s="79">
        <v>26.5</v>
      </c>
      <c r="D36" s="83"/>
      <c r="E36" s="43">
        <f t="shared" si="1"/>
        <v>0</v>
      </c>
      <c r="F36" s="22"/>
      <c r="G36" s="61"/>
      <c r="H36" s="61"/>
      <c r="I36" s="22"/>
      <c r="J36" s="64"/>
      <c r="K36" s="65"/>
      <c r="L36" s="70"/>
      <c r="M36" s="71"/>
      <c r="N36" s="22"/>
      <c r="O36" s="64"/>
      <c r="P36" s="65"/>
      <c r="Q36" s="70"/>
      <c r="R36" s="71"/>
    </row>
    <row r="37" spans="1:18" ht="15.6" x14ac:dyDescent="0.3">
      <c r="F37" s="22"/>
      <c r="G37" s="11" t="s">
        <v>100</v>
      </c>
      <c r="H37" s="85">
        <v>911.94</v>
      </c>
      <c r="I37" s="22"/>
      <c r="J37" s="7" t="s">
        <v>21</v>
      </c>
      <c r="K37" s="15">
        <f>SUM(K28:K31,K33:K36)</f>
        <v>1840</v>
      </c>
      <c r="L37" s="10" t="s">
        <v>22</v>
      </c>
      <c r="M37" s="14">
        <f>SUM(M28:M31,M33:M36)</f>
        <v>57.5</v>
      </c>
      <c r="N37" s="22"/>
      <c r="O37" s="7" t="s">
        <v>21</v>
      </c>
      <c r="P37" s="15">
        <f>SUM(P28:P31,P33:P36)</f>
        <v>4240</v>
      </c>
      <c r="Q37" s="10" t="s">
        <v>22</v>
      </c>
      <c r="R37" s="14">
        <f>SUM(R28:R31,R33:R36)</f>
        <v>132.5</v>
      </c>
    </row>
    <row r="38" spans="1:18" ht="15.6" x14ac:dyDescent="0.3">
      <c r="C38" s="89" t="s">
        <v>87</v>
      </c>
      <c r="D38" s="89"/>
      <c r="E38" s="41">
        <f>SUM(E25:E36)/12</f>
        <v>1179.3333333333333</v>
      </c>
      <c r="F38" s="22"/>
      <c r="G38" s="18"/>
      <c r="H38" s="24"/>
      <c r="I38" s="22"/>
      <c r="N38" s="22"/>
    </row>
    <row r="39" spans="1:18" ht="16.2" thickBot="1" x14ac:dyDescent="0.35">
      <c r="F39" s="22"/>
      <c r="G39" s="18" t="s">
        <v>27</v>
      </c>
      <c r="H39" s="24">
        <f>H30-H37</f>
        <v>707.56</v>
      </c>
      <c r="I39" s="22"/>
      <c r="J39" s="1" t="s">
        <v>91</v>
      </c>
      <c r="K39" s="16">
        <f>K37-M37</f>
        <v>1782.5</v>
      </c>
      <c r="N39" s="22"/>
      <c r="O39" s="1" t="s">
        <v>91</v>
      </c>
      <c r="P39" s="16">
        <f>P37-R37</f>
        <v>4107.5</v>
      </c>
    </row>
    <row r="40" spans="1:18" ht="15.6" thickTop="1" x14ac:dyDescent="0.25">
      <c r="F40" s="22"/>
      <c r="I40" s="22"/>
      <c r="N40" s="22"/>
    </row>
    <row r="41" spans="1:18" x14ac:dyDescent="0.25">
      <c r="F41" s="22"/>
      <c r="G41" s="21"/>
      <c r="H41" s="21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 x14ac:dyDescent="0.25">
      <c r="F42" s="22"/>
      <c r="I42" s="22"/>
      <c r="N42" s="22"/>
    </row>
    <row r="43" spans="1:18" ht="15.6" x14ac:dyDescent="0.3">
      <c r="F43" s="22"/>
      <c r="G43" s="94" t="s">
        <v>30</v>
      </c>
      <c r="H43" s="94"/>
      <c r="I43" s="87"/>
      <c r="J43" s="95" t="s">
        <v>41</v>
      </c>
      <c r="K43" s="95"/>
      <c r="L43" s="95"/>
      <c r="M43" s="95"/>
      <c r="N43" s="87"/>
      <c r="O43" s="95" t="s">
        <v>61</v>
      </c>
      <c r="P43" s="95"/>
      <c r="Q43" s="95"/>
      <c r="R43" s="95"/>
    </row>
    <row r="44" spans="1:18" ht="15.6" x14ac:dyDescent="0.3">
      <c r="F44" s="22"/>
      <c r="G44" s="12"/>
      <c r="H44" s="12"/>
      <c r="I44" s="22"/>
      <c r="N44" s="22"/>
    </row>
    <row r="45" spans="1:18" ht="16.2" thickBot="1" x14ac:dyDescent="0.35">
      <c r="F45" s="22"/>
      <c r="G45" s="13"/>
      <c r="H45" s="13"/>
      <c r="I45" s="23"/>
      <c r="J45" s="90" t="s">
        <v>13</v>
      </c>
      <c r="K45" s="90"/>
      <c r="L45" s="91" t="s">
        <v>14</v>
      </c>
      <c r="M45" s="91"/>
      <c r="N45" s="23"/>
      <c r="O45" s="90" t="s">
        <v>13</v>
      </c>
      <c r="P45" s="90"/>
      <c r="Q45" s="91" t="s">
        <v>14</v>
      </c>
      <c r="R45" s="91"/>
    </row>
    <row r="46" spans="1:18" x14ac:dyDescent="0.25">
      <c r="F46" s="22"/>
      <c r="I46" s="22"/>
      <c r="J46" s="5"/>
      <c r="K46" s="6"/>
      <c r="L46" s="8"/>
      <c r="M46" s="9"/>
      <c r="N46" s="22"/>
      <c r="O46" s="5"/>
      <c r="P46" s="6"/>
      <c r="Q46" s="8"/>
      <c r="R46" s="9"/>
    </row>
    <row r="47" spans="1:18" ht="15.6" x14ac:dyDescent="0.3">
      <c r="F47" s="22"/>
      <c r="G47" s="20" t="s">
        <v>15</v>
      </c>
      <c r="I47" s="22"/>
      <c r="J47" s="32" t="s">
        <v>17</v>
      </c>
      <c r="K47" s="33" t="s">
        <v>16</v>
      </c>
      <c r="L47" s="34" t="s">
        <v>18</v>
      </c>
      <c r="M47" s="35" t="s">
        <v>16</v>
      </c>
      <c r="N47" s="22"/>
      <c r="O47" s="32" t="s">
        <v>17</v>
      </c>
      <c r="P47" s="33" t="s">
        <v>16</v>
      </c>
      <c r="Q47" s="34" t="s">
        <v>18</v>
      </c>
      <c r="R47" s="35" t="s">
        <v>16</v>
      </c>
    </row>
    <row r="48" spans="1:18" x14ac:dyDescent="0.25">
      <c r="F48" s="22"/>
      <c r="G48" s="59" t="s">
        <v>37</v>
      </c>
      <c r="H48" s="58">
        <v>125</v>
      </c>
      <c r="I48" s="22"/>
      <c r="J48" s="62" t="s">
        <v>88</v>
      </c>
      <c r="K48" s="63">
        <f>160*11.5</f>
        <v>1840</v>
      </c>
      <c r="L48" s="66"/>
      <c r="M48" s="67"/>
      <c r="N48" s="22"/>
      <c r="O48" s="62" t="s">
        <v>88</v>
      </c>
      <c r="P48" s="63">
        <f>160*26.5</f>
        <v>4240</v>
      </c>
      <c r="Q48" s="66"/>
      <c r="R48" s="67"/>
    </row>
    <row r="49" spans="6:18" x14ac:dyDescent="0.25">
      <c r="F49" s="22"/>
      <c r="G49" s="59" t="s">
        <v>38</v>
      </c>
      <c r="H49" s="56">
        <v>3.7</v>
      </c>
      <c r="I49" s="22"/>
      <c r="J49" s="62"/>
      <c r="K49" s="63"/>
      <c r="L49" s="66"/>
      <c r="M49" s="67"/>
      <c r="N49" s="22"/>
      <c r="O49" s="62"/>
      <c r="P49" s="63"/>
      <c r="Q49" s="66"/>
      <c r="R49" s="67"/>
    </row>
    <row r="50" spans="6:18" x14ac:dyDescent="0.25">
      <c r="F50" s="22"/>
      <c r="G50" s="59" t="s">
        <v>28</v>
      </c>
      <c r="H50" s="56">
        <f>H48*H49</f>
        <v>462.5</v>
      </c>
      <c r="I50" s="22"/>
      <c r="J50" s="62"/>
      <c r="K50" s="63"/>
      <c r="L50" s="66"/>
      <c r="M50" s="67"/>
      <c r="N50" s="22"/>
      <c r="O50" s="62"/>
      <c r="P50" s="63"/>
      <c r="Q50" s="66"/>
      <c r="R50" s="67"/>
    </row>
    <row r="51" spans="6:18" x14ac:dyDescent="0.25">
      <c r="F51" s="22"/>
      <c r="G51" s="60"/>
      <c r="H51" s="58"/>
      <c r="I51" s="22"/>
      <c r="J51" s="62"/>
      <c r="K51" s="63"/>
      <c r="L51" s="66"/>
      <c r="M51" s="67"/>
      <c r="N51" s="22"/>
      <c r="O51" s="62"/>
      <c r="P51" s="63"/>
      <c r="Q51" s="66"/>
      <c r="R51" s="67"/>
    </row>
    <row r="52" spans="6:18" ht="15.6" x14ac:dyDescent="0.3">
      <c r="F52" s="22"/>
      <c r="G52" s="19" t="s">
        <v>23</v>
      </c>
      <c r="H52" s="17"/>
      <c r="I52" s="22"/>
      <c r="J52" s="32" t="s">
        <v>19</v>
      </c>
      <c r="K52" s="33" t="s">
        <v>16</v>
      </c>
      <c r="L52" s="34" t="s">
        <v>20</v>
      </c>
      <c r="M52" s="35" t="s">
        <v>16</v>
      </c>
      <c r="N52" s="22"/>
      <c r="O52" s="32" t="s">
        <v>19</v>
      </c>
      <c r="P52" s="33" t="s">
        <v>16</v>
      </c>
      <c r="Q52" s="34" t="s">
        <v>20</v>
      </c>
      <c r="R52" s="35" t="s">
        <v>16</v>
      </c>
    </row>
    <row r="53" spans="6:18" x14ac:dyDescent="0.25">
      <c r="F53" s="22"/>
      <c r="G53" s="60" t="s">
        <v>25</v>
      </c>
      <c r="H53" s="58">
        <v>36.86</v>
      </c>
      <c r="I53" s="22"/>
      <c r="J53" s="62"/>
      <c r="K53" s="63"/>
      <c r="L53" s="66" t="s">
        <v>57</v>
      </c>
      <c r="M53" s="67">
        <f>5*11.5</f>
        <v>57.5</v>
      </c>
      <c r="N53" s="22"/>
      <c r="O53" s="62"/>
      <c r="P53" s="63"/>
      <c r="Q53" s="66" t="s">
        <v>57</v>
      </c>
      <c r="R53" s="67">
        <f>5*26.5</f>
        <v>132.5</v>
      </c>
    </row>
    <row r="54" spans="6:18" x14ac:dyDescent="0.25">
      <c r="F54" s="22"/>
      <c r="G54" s="60" t="s">
        <v>26</v>
      </c>
      <c r="H54" s="58">
        <v>14.97</v>
      </c>
      <c r="I54" s="22"/>
      <c r="J54" s="62"/>
      <c r="K54" s="63"/>
      <c r="L54" s="68"/>
      <c r="M54" s="69"/>
      <c r="N54" s="22"/>
      <c r="O54" s="62"/>
      <c r="P54" s="63"/>
      <c r="Q54" s="68"/>
      <c r="R54" s="69"/>
    </row>
    <row r="55" spans="6:18" x14ac:dyDescent="0.25">
      <c r="F55" s="22"/>
      <c r="G55" s="60" t="s">
        <v>24</v>
      </c>
      <c r="H55" s="58">
        <v>10.07</v>
      </c>
      <c r="I55" s="22"/>
      <c r="J55" s="62"/>
      <c r="K55" s="63"/>
      <c r="L55" s="66"/>
      <c r="M55" s="67"/>
      <c r="N55" s="22"/>
      <c r="O55" s="62"/>
      <c r="P55" s="63"/>
      <c r="Q55" s="66"/>
      <c r="R55" s="67"/>
    </row>
    <row r="56" spans="6:18" ht="15.6" thickBot="1" x14ac:dyDescent="0.3">
      <c r="F56" s="22"/>
      <c r="G56" s="61"/>
      <c r="H56" s="61"/>
      <c r="I56" s="22"/>
      <c r="J56" s="64"/>
      <c r="K56" s="65"/>
      <c r="L56" s="70"/>
      <c r="M56" s="71"/>
      <c r="N56" s="22"/>
      <c r="O56" s="64"/>
      <c r="P56" s="65"/>
      <c r="Q56" s="70"/>
      <c r="R56" s="71"/>
    </row>
    <row r="57" spans="6:18" ht="15.6" x14ac:dyDescent="0.3">
      <c r="F57" s="22"/>
      <c r="G57" s="11" t="s">
        <v>100</v>
      </c>
      <c r="H57" s="85">
        <v>335.67</v>
      </c>
      <c r="I57" s="22"/>
      <c r="J57" s="7" t="s">
        <v>21</v>
      </c>
      <c r="K57" s="15">
        <f>SUM(K48:K51,K53:K56)</f>
        <v>1840</v>
      </c>
      <c r="L57" s="10" t="s">
        <v>22</v>
      </c>
      <c r="M57" s="14">
        <f>SUM(M48:M51,M53:M56)</f>
        <v>57.5</v>
      </c>
      <c r="N57" s="22"/>
      <c r="O57" s="7" t="s">
        <v>21</v>
      </c>
      <c r="P57" s="15">
        <f>SUM(P48:P51,P53:P56)</f>
        <v>4240</v>
      </c>
      <c r="Q57" s="10" t="s">
        <v>22</v>
      </c>
      <c r="R57" s="14">
        <f>SUM(R48:R51,R53:R56)</f>
        <v>132.5</v>
      </c>
    </row>
    <row r="58" spans="6:18" ht="15.6" x14ac:dyDescent="0.3">
      <c r="F58" s="22"/>
      <c r="G58" s="18"/>
      <c r="H58" s="24"/>
      <c r="I58" s="22"/>
      <c r="N58" s="22"/>
    </row>
    <row r="59" spans="6:18" ht="16.2" thickBot="1" x14ac:dyDescent="0.35">
      <c r="F59" s="22"/>
      <c r="G59" s="18" t="s">
        <v>27</v>
      </c>
      <c r="H59" s="24">
        <f>H50-H57</f>
        <v>126.82999999999998</v>
      </c>
      <c r="I59" s="22"/>
      <c r="J59" s="1" t="s">
        <v>91</v>
      </c>
      <c r="K59" s="16">
        <f>K57-M57</f>
        <v>1782.5</v>
      </c>
      <c r="N59" s="22"/>
      <c r="O59" s="1" t="s">
        <v>91</v>
      </c>
      <c r="P59" s="16">
        <f>P57-R57</f>
        <v>4107.5</v>
      </c>
    </row>
    <row r="60" spans="6:18" ht="15.6" thickTop="1" x14ac:dyDescent="0.25"/>
  </sheetData>
  <sheetProtection selectLockedCells="1"/>
  <mergeCells count="25">
    <mergeCell ref="C19:D19"/>
    <mergeCell ref="G23:H23"/>
    <mergeCell ref="J23:M23"/>
    <mergeCell ref="O23:R23"/>
    <mergeCell ref="A1:E1"/>
    <mergeCell ref="A2:E2"/>
    <mergeCell ref="G3:H3"/>
    <mergeCell ref="J3:M3"/>
    <mergeCell ref="O3:R3"/>
    <mergeCell ref="J5:K5"/>
    <mergeCell ref="L5:M5"/>
    <mergeCell ref="O5:P5"/>
    <mergeCell ref="Q5:R5"/>
    <mergeCell ref="J25:K25"/>
    <mergeCell ref="L25:M25"/>
    <mergeCell ref="O25:P25"/>
    <mergeCell ref="Q25:R25"/>
    <mergeCell ref="G43:H43"/>
    <mergeCell ref="J43:M43"/>
    <mergeCell ref="O43:R43"/>
    <mergeCell ref="J45:K45"/>
    <mergeCell ref="L45:M45"/>
    <mergeCell ref="O45:P45"/>
    <mergeCell ref="Q45:R45"/>
    <mergeCell ref="C38:D38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7E7A-45CA-466C-81AA-E02DA04FD532}">
  <sheetPr>
    <tabColor rgb="FF00B050"/>
  </sheetPr>
  <dimension ref="A1:W60"/>
  <sheetViews>
    <sheetView workbookViewId="0">
      <selection activeCell="W44" activeCellId="5" sqref="A1:E2 G3:W3 G23:W23 G44:V44 G43:W43 W44"/>
    </sheetView>
  </sheetViews>
  <sheetFormatPr defaultRowHeight="15" x14ac:dyDescent="0.25"/>
  <cols>
    <col min="1" max="1" width="9.08984375" customWidth="1"/>
    <col min="2" max="2" width="27.26953125" customWidth="1"/>
    <col min="3" max="3" width="9.08984375" customWidth="1"/>
    <col min="4" max="5" width="12.26953125" customWidth="1"/>
    <col min="6" max="6" width="2.26953125" customWidth="1"/>
    <col min="7" max="7" width="20.453125" style="11" customWidth="1"/>
    <col min="8" max="8" width="18.1796875" style="11" customWidth="1"/>
    <col min="9" max="9" width="2.26953125" customWidth="1"/>
    <col min="10" max="10" width="22.7265625" customWidth="1"/>
    <col min="11" max="11" width="11.36328125" customWidth="1"/>
    <col min="12" max="12" width="20.453125" customWidth="1"/>
    <col min="13" max="13" width="11.36328125" customWidth="1"/>
    <col min="14" max="14" width="2.26953125" customWidth="1"/>
    <col min="15" max="15" width="22.7265625" customWidth="1"/>
    <col min="16" max="16" width="11.36328125" customWidth="1"/>
    <col min="17" max="17" width="20.453125" customWidth="1"/>
    <col min="18" max="18" width="11.36328125" customWidth="1"/>
    <col min="19" max="19" width="2.26953125" customWidth="1"/>
    <col min="20" max="20" width="22.7265625" customWidth="1"/>
    <col min="21" max="21" width="11.36328125" customWidth="1"/>
    <col min="22" max="22" width="20.453125" customWidth="1"/>
    <col min="23" max="23" width="11.36328125" customWidth="1"/>
  </cols>
  <sheetData>
    <row r="1" spans="1:23" ht="21" x14ac:dyDescent="0.4">
      <c r="A1" s="92" t="s">
        <v>62</v>
      </c>
      <c r="B1" s="92"/>
      <c r="C1" s="92"/>
      <c r="D1" s="92"/>
      <c r="E1" s="92"/>
      <c r="F1" s="22"/>
      <c r="I1" s="22"/>
      <c r="N1" s="22"/>
      <c r="S1" s="22"/>
    </row>
    <row r="2" spans="1:23" ht="21" x14ac:dyDescent="0.4">
      <c r="A2" s="93" t="s">
        <v>48</v>
      </c>
      <c r="B2" s="93"/>
      <c r="C2" s="93"/>
      <c r="D2" s="93"/>
      <c r="E2" s="93"/>
      <c r="F2" s="22"/>
      <c r="I2" s="22"/>
      <c r="N2" s="22"/>
      <c r="S2" s="22"/>
    </row>
    <row r="3" spans="1:23" ht="15.6" x14ac:dyDescent="0.3">
      <c r="A3" s="1"/>
      <c r="D3" s="2"/>
      <c r="E3" s="2"/>
      <c r="F3" s="22"/>
      <c r="G3" s="94" t="s">
        <v>12</v>
      </c>
      <c r="H3" s="94"/>
      <c r="I3" s="87"/>
      <c r="J3" s="95" t="s">
        <v>63</v>
      </c>
      <c r="K3" s="95"/>
      <c r="L3" s="95"/>
      <c r="M3" s="95"/>
      <c r="N3" s="87"/>
      <c r="O3" s="95" t="s">
        <v>39</v>
      </c>
      <c r="P3" s="95"/>
      <c r="Q3" s="95"/>
      <c r="R3" s="95"/>
      <c r="S3" s="87"/>
      <c r="T3" s="95" t="s">
        <v>59</v>
      </c>
      <c r="U3" s="95"/>
      <c r="V3" s="95"/>
      <c r="W3" s="95"/>
    </row>
    <row r="4" spans="1:23" ht="15.6" x14ac:dyDescent="0.3">
      <c r="D4" s="2" t="s">
        <v>90</v>
      </c>
      <c r="E4" s="2" t="s">
        <v>11</v>
      </c>
      <c r="F4" s="22"/>
      <c r="G4" s="12"/>
      <c r="H4" s="12"/>
      <c r="I4" s="22"/>
      <c r="J4" s="2"/>
      <c r="N4" s="22"/>
      <c r="O4" s="2"/>
      <c r="S4" s="22"/>
      <c r="T4" s="2"/>
    </row>
    <row r="5" spans="1:23" s="2" customFormat="1" ht="16.2" thickBot="1" x14ac:dyDescent="0.35">
      <c r="A5" s="3" t="s">
        <v>0</v>
      </c>
      <c r="B5" s="3" t="s">
        <v>1</v>
      </c>
      <c r="C5" s="3" t="s">
        <v>2</v>
      </c>
      <c r="D5" s="3" t="s">
        <v>10</v>
      </c>
      <c r="E5" s="3" t="s">
        <v>90</v>
      </c>
      <c r="F5" s="23"/>
      <c r="G5" s="13"/>
      <c r="H5" s="13"/>
      <c r="I5" s="23"/>
      <c r="J5" s="90" t="s">
        <v>13</v>
      </c>
      <c r="K5" s="90"/>
      <c r="L5" s="91" t="s">
        <v>14</v>
      </c>
      <c r="M5" s="91"/>
      <c r="N5" s="23"/>
      <c r="O5" s="90" t="s">
        <v>13</v>
      </c>
      <c r="P5" s="90"/>
      <c r="Q5" s="91" t="s">
        <v>14</v>
      </c>
      <c r="R5" s="91"/>
      <c r="S5" s="23"/>
      <c r="T5" s="90" t="s">
        <v>13</v>
      </c>
      <c r="U5" s="90"/>
      <c r="V5" s="91" t="s">
        <v>14</v>
      </c>
      <c r="W5" s="91"/>
    </row>
    <row r="6" spans="1:23" x14ac:dyDescent="0.25">
      <c r="A6" s="4">
        <v>1</v>
      </c>
      <c r="B6" s="76" t="s">
        <v>66</v>
      </c>
      <c r="C6" s="77">
        <v>122</v>
      </c>
      <c r="D6" s="28">
        <f>H19+(K19/C6)</f>
        <v>1300.6824918032787</v>
      </c>
      <c r="E6" s="28">
        <f>C6*D6</f>
        <v>158683.264</v>
      </c>
      <c r="F6" s="22"/>
      <c r="I6" s="22"/>
      <c r="J6" s="5"/>
      <c r="K6" s="6"/>
      <c r="L6" s="8"/>
      <c r="M6" s="9"/>
      <c r="N6" s="22"/>
      <c r="O6" s="5"/>
      <c r="P6" s="6"/>
      <c r="Q6" s="8"/>
      <c r="R6" s="9"/>
      <c r="S6" s="22"/>
      <c r="T6" s="5"/>
      <c r="U6" s="6"/>
      <c r="V6" s="8"/>
      <c r="W6" s="9"/>
    </row>
    <row r="7" spans="1:23" ht="15.6" x14ac:dyDescent="0.3">
      <c r="A7" s="4">
        <v>1</v>
      </c>
      <c r="B7" s="76" t="s">
        <v>72</v>
      </c>
      <c r="C7" s="77">
        <v>11.5</v>
      </c>
      <c r="D7" s="28">
        <f>P19/C7</f>
        <v>185</v>
      </c>
      <c r="E7" s="28">
        <f t="shared" ref="E7:E17" si="0">C7*D7</f>
        <v>2127.5</v>
      </c>
      <c r="F7" s="22"/>
      <c r="G7" s="20" t="s">
        <v>15</v>
      </c>
      <c r="H7" s="36"/>
      <c r="I7" s="22"/>
      <c r="J7" s="32" t="s">
        <v>17</v>
      </c>
      <c r="K7" s="33" t="s">
        <v>16</v>
      </c>
      <c r="L7" s="34" t="s">
        <v>18</v>
      </c>
      <c r="M7" s="35" t="s">
        <v>16</v>
      </c>
      <c r="N7" s="22"/>
      <c r="O7" s="32" t="s">
        <v>17</v>
      </c>
      <c r="P7" s="33" t="s">
        <v>16</v>
      </c>
      <c r="Q7" s="34" t="s">
        <v>18</v>
      </c>
      <c r="R7" s="35" t="s">
        <v>16</v>
      </c>
      <c r="S7" s="22"/>
      <c r="T7" s="32" t="s">
        <v>17</v>
      </c>
      <c r="U7" s="33" t="s">
        <v>16</v>
      </c>
      <c r="V7" s="34" t="s">
        <v>18</v>
      </c>
      <c r="W7" s="35" t="s">
        <v>16</v>
      </c>
    </row>
    <row r="8" spans="1:23" x14ac:dyDescent="0.25">
      <c r="A8" s="25">
        <v>1</v>
      </c>
      <c r="B8" s="78" t="s">
        <v>73</v>
      </c>
      <c r="C8" s="79">
        <v>26.5</v>
      </c>
      <c r="D8" s="29">
        <f>U19/C8</f>
        <v>185</v>
      </c>
      <c r="E8" s="29">
        <f t="shared" si="0"/>
        <v>4902.5</v>
      </c>
      <c r="F8" s="22"/>
      <c r="G8" s="59" t="s">
        <v>33</v>
      </c>
      <c r="H8" s="58">
        <v>420</v>
      </c>
      <c r="I8" s="22"/>
      <c r="J8" s="62"/>
      <c r="K8" s="63"/>
      <c r="L8" s="66"/>
      <c r="M8" s="67"/>
      <c r="N8" s="22"/>
      <c r="O8" s="62" t="s">
        <v>89</v>
      </c>
      <c r="P8" s="63">
        <f>160*11.5</f>
        <v>1840</v>
      </c>
      <c r="Q8" s="66"/>
      <c r="R8" s="67"/>
      <c r="S8" s="22"/>
      <c r="T8" s="62" t="s">
        <v>88</v>
      </c>
      <c r="U8" s="63">
        <f>160*26.5</f>
        <v>4240</v>
      </c>
      <c r="V8" s="66"/>
      <c r="W8" s="67"/>
    </row>
    <row r="9" spans="1:23" x14ac:dyDescent="0.25">
      <c r="A9" s="4">
        <v>2</v>
      </c>
      <c r="B9" s="76" t="s">
        <v>67</v>
      </c>
      <c r="C9" s="77">
        <v>122</v>
      </c>
      <c r="D9" s="28">
        <f>H39+(K39/C9)</f>
        <v>714.93499180327865</v>
      </c>
      <c r="E9" s="28">
        <f t="shared" si="0"/>
        <v>87222.068999999989</v>
      </c>
      <c r="F9" s="22"/>
      <c r="G9" s="59" t="s">
        <v>34</v>
      </c>
      <c r="H9" s="56">
        <v>7.5</v>
      </c>
      <c r="I9" s="22"/>
      <c r="J9" s="62"/>
      <c r="K9" s="63"/>
      <c r="L9" s="66"/>
      <c r="M9" s="67"/>
      <c r="N9" s="22"/>
      <c r="O9" s="62" t="s">
        <v>56</v>
      </c>
      <c r="P9" s="63">
        <f>30*11.5</f>
        <v>345</v>
      </c>
      <c r="Q9" s="66"/>
      <c r="R9" s="67"/>
      <c r="S9" s="22"/>
      <c r="T9" s="62" t="s">
        <v>56</v>
      </c>
      <c r="U9" s="63">
        <f>30*26.5</f>
        <v>795</v>
      </c>
      <c r="V9" s="66"/>
      <c r="W9" s="67"/>
    </row>
    <row r="10" spans="1:23" x14ac:dyDescent="0.25">
      <c r="A10" s="4">
        <v>2</v>
      </c>
      <c r="B10" s="76" t="s">
        <v>74</v>
      </c>
      <c r="C10" s="77">
        <v>11.5</v>
      </c>
      <c r="D10" s="28">
        <f>P39/C10</f>
        <v>155</v>
      </c>
      <c r="E10" s="28">
        <f t="shared" si="0"/>
        <v>1782.5</v>
      </c>
      <c r="F10" s="22"/>
      <c r="G10" s="59" t="s">
        <v>28</v>
      </c>
      <c r="H10" s="56">
        <f>H8*H9</f>
        <v>3150</v>
      </c>
      <c r="I10" s="22"/>
      <c r="J10" s="62"/>
      <c r="K10" s="63"/>
      <c r="L10" s="66"/>
      <c r="M10" s="67"/>
      <c r="N10" s="22"/>
      <c r="O10" s="62"/>
      <c r="P10" s="63"/>
      <c r="Q10" s="66"/>
      <c r="R10" s="67"/>
      <c r="S10" s="22"/>
      <c r="T10" s="72"/>
      <c r="U10" s="73"/>
      <c r="V10" s="66"/>
      <c r="W10" s="67"/>
    </row>
    <row r="11" spans="1:23" x14ac:dyDescent="0.25">
      <c r="A11" s="25">
        <v>2</v>
      </c>
      <c r="B11" s="78" t="s">
        <v>75</v>
      </c>
      <c r="C11" s="79">
        <v>26.5</v>
      </c>
      <c r="D11" s="29">
        <f>U39/C11</f>
        <v>155</v>
      </c>
      <c r="E11" s="29">
        <f t="shared" si="0"/>
        <v>4107.5</v>
      </c>
      <c r="F11" s="22"/>
      <c r="G11" s="60"/>
      <c r="H11" s="58"/>
      <c r="I11" s="22"/>
      <c r="J11" s="62"/>
      <c r="K11" s="63"/>
      <c r="L11" s="66"/>
      <c r="M11" s="67"/>
      <c r="N11" s="22"/>
      <c r="O11" s="62"/>
      <c r="P11" s="63"/>
      <c r="Q11" s="66"/>
      <c r="R11" s="67"/>
      <c r="S11" s="22"/>
      <c r="T11" s="62"/>
      <c r="U11" s="63"/>
      <c r="V11" s="66"/>
      <c r="W11" s="67"/>
    </row>
    <row r="12" spans="1:23" ht="15.6" x14ac:dyDescent="0.3">
      <c r="A12" s="4">
        <v>3</v>
      </c>
      <c r="B12" s="76" t="s">
        <v>68</v>
      </c>
      <c r="C12" s="77">
        <v>122</v>
      </c>
      <c r="D12" s="28">
        <f>H59+(K59/C12)</f>
        <v>126.38549180327867</v>
      </c>
      <c r="E12" s="28">
        <f t="shared" si="0"/>
        <v>15419.029999999997</v>
      </c>
      <c r="F12" s="22"/>
      <c r="G12" s="19" t="s">
        <v>23</v>
      </c>
      <c r="H12" s="37"/>
      <c r="I12" s="22"/>
      <c r="J12" s="32" t="s">
        <v>19</v>
      </c>
      <c r="K12" s="33" t="s">
        <v>16</v>
      </c>
      <c r="L12" s="34" t="s">
        <v>20</v>
      </c>
      <c r="M12" s="35" t="s">
        <v>16</v>
      </c>
      <c r="N12" s="22"/>
      <c r="O12" s="32" t="s">
        <v>19</v>
      </c>
      <c r="P12" s="33" t="s">
        <v>16</v>
      </c>
      <c r="Q12" s="34" t="s">
        <v>20</v>
      </c>
      <c r="R12" s="35" t="s">
        <v>16</v>
      </c>
      <c r="S12" s="22"/>
      <c r="T12" s="32" t="s">
        <v>19</v>
      </c>
      <c r="U12" s="33" t="s">
        <v>16</v>
      </c>
      <c r="V12" s="34" t="s">
        <v>20</v>
      </c>
      <c r="W12" s="35" t="s">
        <v>16</v>
      </c>
    </row>
    <row r="13" spans="1:23" x14ac:dyDescent="0.25">
      <c r="A13" s="26">
        <v>3</v>
      </c>
      <c r="B13" s="80" t="s">
        <v>76</v>
      </c>
      <c r="C13" s="81">
        <v>11.5</v>
      </c>
      <c r="D13" s="28">
        <f>P59/C13</f>
        <v>155</v>
      </c>
      <c r="E13" s="28">
        <f t="shared" si="0"/>
        <v>1782.5</v>
      </c>
      <c r="F13" s="22"/>
      <c r="G13" s="60" t="s">
        <v>25</v>
      </c>
      <c r="H13" s="57">
        <v>49.47</v>
      </c>
      <c r="I13" s="22"/>
      <c r="J13" s="62" t="s">
        <v>51</v>
      </c>
      <c r="K13" s="63">
        <f>0.15*H13*122</f>
        <v>905.30099999999993</v>
      </c>
      <c r="L13" s="66" t="s">
        <v>70</v>
      </c>
      <c r="M13" s="67">
        <v>900</v>
      </c>
      <c r="N13" s="22"/>
      <c r="O13" s="62"/>
      <c r="P13" s="63"/>
      <c r="Q13" s="66" t="s">
        <v>57</v>
      </c>
      <c r="R13" s="67">
        <f>5*11.5</f>
        <v>57.5</v>
      </c>
      <c r="S13" s="22"/>
      <c r="T13" s="62"/>
      <c r="U13" s="63"/>
      <c r="V13" s="66" t="s">
        <v>57</v>
      </c>
      <c r="W13" s="67">
        <f>5*26.5</f>
        <v>132.5</v>
      </c>
    </row>
    <row r="14" spans="1:23" x14ac:dyDescent="0.25">
      <c r="A14" s="25">
        <v>3</v>
      </c>
      <c r="B14" s="78" t="s">
        <v>77</v>
      </c>
      <c r="C14" s="79">
        <v>26.5</v>
      </c>
      <c r="D14" s="29">
        <f>U59/C14</f>
        <v>155</v>
      </c>
      <c r="E14" s="29">
        <f t="shared" si="0"/>
        <v>4107.5</v>
      </c>
      <c r="F14" s="22"/>
      <c r="G14" s="60" t="s">
        <v>26</v>
      </c>
      <c r="H14" s="57">
        <v>20.09</v>
      </c>
      <c r="I14" s="22"/>
      <c r="J14" s="62" t="s">
        <v>69</v>
      </c>
      <c r="K14" s="63">
        <f>0.15*H14*122</f>
        <v>367.64699999999999</v>
      </c>
      <c r="L14" s="66" t="s">
        <v>71</v>
      </c>
      <c r="M14" s="67">
        <v>287</v>
      </c>
      <c r="N14" s="22"/>
      <c r="O14" s="62"/>
      <c r="P14" s="63"/>
      <c r="Q14" s="68"/>
      <c r="R14" s="69"/>
      <c r="S14" s="22"/>
      <c r="T14" s="62"/>
      <c r="U14" s="63"/>
      <c r="V14" s="68"/>
      <c r="W14" s="69"/>
    </row>
    <row r="15" spans="1:23" x14ac:dyDescent="0.25">
      <c r="A15" s="4">
        <v>4</v>
      </c>
      <c r="B15" s="76" t="s">
        <v>68</v>
      </c>
      <c r="C15" s="77">
        <v>122</v>
      </c>
      <c r="D15" s="28">
        <f>H59+(K59/C15)</f>
        <v>126.38549180327867</v>
      </c>
      <c r="E15" s="28">
        <f t="shared" si="0"/>
        <v>15419.029999999997</v>
      </c>
      <c r="F15" s="22"/>
      <c r="G15" s="60" t="s">
        <v>24</v>
      </c>
      <c r="H15" s="57">
        <v>13.52</v>
      </c>
      <c r="I15" s="22"/>
      <c r="J15" s="62" t="s">
        <v>52</v>
      </c>
      <c r="K15" s="63">
        <f>0.15*H15*122</f>
        <v>247.416</v>
      </c>
      <c r="L15" s="66"/>
      <c r="M15" s="67"/>
      <c r="N15" s="22"/>
      <c r="O15" s="62"/>
      <c r="P15" s="63"/>
      <c r="Q15" s="66"/>
      <c r="R15" s="67"/>
      <c r="S15" s="22"/>
      <c r="T15" s="62"/>
      <c r="U15" s="63"/>
      <c r="V15" s="66"/>
      <c r="W15" s="67"/>
    </row>
    <row r="16" spans="1:23" ht="15.6" thickBot="1" x14ac:dyDescent="0.3">
      <c r="A16" s="4">
        <v>4</v>
      </c>
      <c r="B16" s="76" t="s">
        <v>76</v>
      </c>
      <c r="C16" s="77">
        <v>11.5</v>
      </c>
      <c r="D16" s="28">
        <f>P59/C16</f>
        <v>155</v>
      </c>
      <c r="E16" s="28">
        <f t="shared" si="0"/>
        <v>1782.5</v>
      </c>
      <c r="F16" s="22"/>
      <c r="G16" s="61"/>
      <c r="H16" s="61"/>
      <c r="I16" s="22"/>
      <c r="J16" s="64"/>
      <c r="K16" s="65"/>
      <c r="L16" s="70"/>
      <c r="M16" s="71"/>
      <c r="N16" s="22"/>
      <c r="O16" s="64"/>
      <c r="P16" s="65"/>
      <c r="Q16" s="70"/>
      <c r="R16" s="71"/>
      <c r="S16" s="22"/>
      <c r="T16" s="64"/>
      <c r="U16" s="65"/>
      <c r="V16" s="70"/>
      <c r="W16" s="71"/>
    </row>
    <row r="17" spans="1:23" ht="15.6" x14ac:dyDescent="0.3">
      <c r="A17" s="25">
        <v>4</v>
      </c>
      <c r="B17" s="78" t="s">
        <v>77</v>
      </c>
      <c r="C17" s="79">
        <v>26.5</v>
      </c>
      <c r="D17" s="29">
        <f>U59/C17</f>
        <v>155</v>
      </c>
      <c r="E17" s="29">
        <f t="shared" si="0"/>
        <v>4107.5</v>
      </c>
      <c r="F17" s="22"/>
      <c r="G17" s="11" t="s">
        <v>100</v>
      </c>
      <c r="H17" s="85">
        <v>1852.05</v>
      </c>
      <c r="I17" s="22"/>
      <c r="J17" s="7" t="s">
        <v>21</v>
      </c>
      <c r="K17" s="15">
        <f>SUM(K8:K11,K13:K16)</f>
        <v>1520.3639999999998</v>
      </c>
      <c r="L17" s="10" t="s">
        <v>22</v>
      </c>
      <c r="M17" s="14">
        <f>SUM(M8:M11,M13:M16)</f>
        <v>1187</v>
      </c>
      <c r="N17" s="22"/>
      <c r="O17" s="7" t="s">
        <v>21</v>
      </c>
      <c r="P17" s="15">
        <f>SUM(P8:P11,P13:P16)</f>
        <v>2185</v>
      </c>
      <c r="Q17" s="10" t="s">
        <v>22</v>
      </c>
      <c r="R17" s="14">
        <f>SUM(R8:R11,R13:R16)</f>
        <v>57.5</v>
      </c>
      <c r="S17" s="22"/>
      <c r="T17" s="7" t="s">
        <v>21</v>
      </c>
      <c r="U17" s="15">
        <f>SUM(U8:U11,U13:U16)</f>
        <v>5035</v>
      </c>
      <c r="V17" s="10" t="s">
        <v>22</v>
      </c>
      <c r="W17" s="14">
        <f>SUM(W8:W11,W13:W16)</f>
        <v>132.5</v>
      </c>
    </row>
    <row r="18" spans="1:23" ht="15.6" x14ac:dyDescent="0.3">
      <c r="F18" s="22"/>
      <c r="G18" s="18"/>
      <c r="H18" s="24"/>
      <c r="I18" s="22"/>
      <c r="N18" s="22"/>
      <c r="S18" s="22"/>
    </row>
    <row r="19" spans="1:23" ht="16.2" thickBot="1" x14ac:dyDescent="0.35">
      <c r="C19" s="89" t="s">
        <v>92</v>
      </c>
      <c r="D19" s="89"/>
      <c r="E19" s="31">
        <f>SUM(E6:E17)</f>
        <v>301443.39299999992</v>
      </c>
      <c r="F19" s="22"/>
      <c r="G19" s="18" t="s">
        <v>27</v>
      </c>
      <c r="H19" s="24">
        <f>H10-H17</f>
        <v>1297.95</v>
      </c>
      <c r="I19" s="22"/>
      <c r="J19" s="1" t="s">
        <v>91</v>
      </c>
      <c r="K19" s="16">
        <f>K17-M17</f>
        <v>333.36399999999981</v>
      </c>
      <c r="N19" s="22"/>
      <c r="O19" s="1" t="s">
        <v>91</v>
      </c>
      <c r="P19" s="16">
        <f>P17-R17</f>
        <v>2127.5</v>
      </c>
      <c r="S19" s="22"/>
      <c r="T19" s="1" t="s">
        <v>91</v>
      </c>
      <c r="U19" s="16">
        <f>U17-W17</f>
        <v>4902.5</v>
      </c>
    </row>
    <row r="20" spans="1:23" ht="16.2" thickTop="1" x14ac:dyDescent="0.3">
      <c r="C20" s="97"/>
      <c r="D20" s="97"/>
      <c r="F20" s="22"/>
      <c r="I20" s="22"/>
      <c r="N20" s="22"/>
      <c r="S20" s="22"/>
    </row>
    <row r="21" spans="1:23" ht="15.6" x14ac:dyDescent="0.3">
      <c r="C21" s="97"/>
      <c r="D21" s="97"/>
      <c r="F21" s="22"/>
      <c r="G21" s="21"/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15.6" x14ac:dyDescent="0.3">
      <c r="D22" s="38" t="s">
        <v>82</v>
      </c>
      <c r="E22" s="38" t="s">
        <v>11</v>
      </c>
      <c r="F22" s="22"/>
      <c r="I22" s="22"/>
      <c r="N22" s="22"/>
      <c r="S22" s="22"/>
    </row>
    <row r="23" spans="1:23" ht="15.6" x14ac:dyDescent="0.3">
      <c r="D23" s="38" t="s">
        <v>10</v>
      </c>
      <c r="E23" s="38" t="s">
        <v>82</v>
      </c>
      <c r="F23" s="22"/>
      <c r="G23" s="94" t="s">
        <v>29</v>
      </c>
      <c r="H23" s="94"/>
      <c r="I23" s="87"/>
      <c r="J23" s="95" t="s">
        <v>64</v>
      </c>
      <c r="K23" s="95"/>
      <c r="L23" s="95"/>
      <c r="M23" s="95"/>
      <c r="N23" s="87"/>
      <c r="O23" s="95" t="s">
        <v>40</v>
      </c>
      <c r="P23" s="95"/>
      <c r="Q23" s="95"/>
      <c r="R23" s="95"/>
      <c r="S23" s="87"/>
      <c r="T23" s="95" t="s">
        <v>60</v>
      </c>
      <c r="U23" s="95"/>
      <c r="V23" s="95"/>
      <c r="W23" s="95"/>
    </row>
    <row r="24" spans="1:23" ht="16.2" thickBot="1" x14ac:dyDescent="0.35">
      <c r="A24" s="3" t="s">
        <v>0</v>
      </c>
      <c r="B24" s="3" t="s">
        <v>1</v>
      </c>
      <c r="C24" s="3" t="s">
        <v>2</v>
      </c>
      <c r="D24" s="40" t="s">
        <v>83</v>
      </c>
      <c r="E24" s="40" t="s">
        <v>83</v>
      </c>
      <c r="F24" s="22"/>
      <c r="G24" s="12"/>
      <c r="H24" s="12"/>
      <c r="I24" s="22"/>
      <c r="N24" s="22"/>
      <c r="S24" s="22"/>
    </row>
    <row r="25" spans="1:23" ht="16.2" thickBot="1" x14ac:dyDescent="0.35">
      <c r="A25" s="4">
        <v>1</v>
      </c>
      <c r="B25" s="76" t="s">
        <v>66</v>
      </c>
      <c r="C25" s="77">
        <v>122</v>
      </c>
      <c r="D25" s="82">
        <v>26.8</v>
      </c>
      <c r="E25" s="42">
        <f>D25*C25</f>
        <v>3269.6</v>
      </c>
      <c r="F25" s="22"/>
      <c r="G25" s="13"/>
      <c r="H25" s="13"/>
      <c r="I25" s="23"/>
      <c r="J25" s="90" t="s">
        <v>13</v>
      </c>
      <c r="K25" s="90"/>
      <c r="L25" s="91" t="s">
        <v>14</v>
      </c>
      <c r="M25" s="91"/>
      <c r="N25" s="23"/>
      <c r="O25" s="90" t="s">
        <v>13</v>
      </c>
      <c r="P25" s="90"/>
      <c r="Q25" s="91" t="s">
        <v>14</v>
      </c>
      <c r="R25" s="91"/>
      <c r="S25" s="23"/>
      <c r="T25" s="90" t="s">
        <v>13</v>
      </c>
      <c r="U25" s="90"/>
      <c r="V25" s="91" t="s">
        <v>14</v>
      </c>
      <c r="W25" s="91"/>
    </row>
    <row r="26" spans="1:23" x14ac:dyDescent="0.25">
      <c r="A26" s="4">
        <v>1</v>
      </c>
      <c r="B26" s="76" t="s">
        <v>72</v>
      </c>
      <c r="C26" s="77">
        <v>11.5</v>
      </c>
      <c r="D26" s="82"/>
      <c r="E26" s="42">
        <f t="shared" ref="E26:E36" si="1">D26*C26</f>
        <v>0</v>
      </c>
      <c r="F26" s="22"/>
      <c r="I26" s="22"/>
      <c r="J26" s="5"/>
      <c r="K26" s="6"/>
      <c r="L26" s="8"/>
      <c r="M26" s="9"/>
      <c r="N26" s="22"/>
      <c r="O26" s="5"/>
      <c r="P26" s="6"/>
      <c r="Q26" s="8"/>
      <c r="R26" s="9"/>
      <c r="S26" s="22"/>
      <c r="T26" s="5"/>
      <c r="U26" s="6"/>
      <c r="V26" s="8"/>
      <c r="W26" s="9"/>
    </row>
    <row r="27" spans="1:23" ht="15.6" x14ac:dyDescent="0.3">
      <c r="A27" s="25">
        <v>1</v>
      </c>
      <c r="B27" s="78" t="s">
        <v>73</v>
      </c>
      <c r="C27" s="79">
        <v>26.5</v>
      </c>
      <c r="D27" s="83"/>
      <c r="E27" s="43">
        <f t="shared" si="1"/>
        <v>0</v>
      </c>
      <c r="F27" s="22"/>
      <c r="G27" s="20" t="s">
        <v>15</v>
      </c>
      <c r="H27" s="36"/>
      <c r="I27" s="22"/>
      <c r="J27" s="32" t="s">
        <v>17</v>
      </c>
      <c r="K27" s="33" t="s">
        <v>16</v>
      </c>
      <c r="L27" s="34" t="s">
        <v>18</v>
      </c>
      <c r="M27" s="35" t="s">
        <v>16</v>
      </c>
      <c r="N27" s="22"/>
      <c r="O27" s="32" t="s">
        <v>17</v>
      </c>
      <c r="P27" s="33" t="s">
        <v>16</v>
      </c>
      <c r="Q27" s="34" t="s">
        <v>18</v>
      </c>
      <c r="R27" s="35" t="s">
        <v>16</v>
      </c>
      <c r="S27" s="22"/>
      <c r="T27" s="32" t="s">
        <v>17</v>
      </c>
      <c r="U27" s="33" t="s">
        <v>16</v>
      </c>
      <c r="V27" s="34" t="s">
        <v>18</v>
      </c>
      <c r="W27" s="35" t="s">
        <v>16</v>
      </c>
    </row>
    <row r="28" spans="1:23" x14ac:dyDescent="0.25">
      <c r="A28" s="4">
        <v>2</v>
      </c>
      <c r="B28" s="76" t="s">
        <v>67</v>
      </c>
      <c r="C28" s="77">
        <v>122</v>
      </c>
      <c r="D28" s="82">
        <v>36.799999999999997</v>
      </c>
      <c r="E28" s="42">
        <f t="shared" si="1"/>
        <v>4489.5999999999995</v>
      </c>
      <c r="F28" s="22"/>
      <c r="G28" s="59" t="s">
        <v>35</v>
      </c>
      <c r="H28" s="58">
        <v>41</v>
      </c>
      <c r="I28" s="22"/>
      <c r="J28" s="62"/>
      <c r="K28" s="63"/>
      <c r="L28" s="66"/>
      <c r="M28" s="67"/>
      <c r="N28" s="22"/>
      <c r="O28" s="62" t="s">
        <v>88</v>
      </c>
      <c r="P28" s="63">
        <f>160*11.5</f>
        <v>1840</v>
      </c>
      <c r="Q28" s="66"/>
      <c r="R28" s="67"/>
      <c r="S28" s="22"/>
      <c r="T28" s="62" t="s">
        <v>88</v>
      </c>
      <c r="U28" s="63">
        <f>160*26.5</f>
        <v>4240</v>
      </c>
      <c r="V28" s="66"/>
      <c r="W28" s="67"/>
    </row>
    <row r="29" spans="1:23" x14ac:dyDescent="0.25">
      <c r="A29" s="4">
        <v>2</v>
      </c>
      <c r="B29" s="76" t="s">
        <v>74</v>
      </c>
      <c r="C29" s="77">
        <v>11.5</v>
      </c>
      <c r="D29" s="82"/>
      <c r="E29" s="42">
        <f t="shared" si="1"/>
        <v>0</v>
      </c>
      <c r="F29" s="22"/>
      <c r="G29" s="59" t="s">
        <v>36</v>
      </c>
      <c r="H29" s="56">
        <v>39.5</v>
      </c>
      <c r="I29" s="22"/>
      <c r="J29" s="62"/>
      <c r="K29" s="63"/>
      <c r="L29" s="66"/>
      <c r="M29" s="67"/>
      <c r="N29" s="22"/>
      <c r="O29" s="62"/>
      <c r="P29" s="63"/>
      <c r="Q29" s="66"/>
      <c r="R29" s="67"/>
      <c r="S29" s="22"/>
      <c r="T29" s="62"/>
      <c r="U29" s="63"/>
      <c r="V29" s="66"/>
      <c r="W29" s="67"/>
    </row>
    <row r="30" spans="1:23" x14ac:dyDescent="0.25">
      <c r="A30" s="25">
        <v>2</v>
      </c>
      <c r="B30" s="78" t="s">
        <v>75</v>
      </c>
      <c r="C30" s="79">
        <v>26.5</v>
      </c>
      <c r="D30" s="83"/>
      <c r="E30" s="43">
        <f t="shared" si="1"/>
        <v>0</v>
      </c>
      <c r="F30" s="22"/>
      <c r="G30" s="59" t="s">
        <v>28</v>
      </c>
      <c r="H30" s="56">
        <f>H28*H29</f>
        <v>1619.5</v>
      </c>
      <c r="I30" s="22"/>
      <c r="J30" s="62"/>
      <c r="K30" s="63"/>
      <c r="L30" s="66"/>
      <c r="M30" s="67"/>
      <c r="N30" s="22"/>
      <c r="O30" s="62"/>
      <c r="P30" s="63"/>
      <c r="Q30" s="66"/>
      <c r="R30" s="67"/>
      <c r="S30" s="22"/>
      <c r="T30" s="62"/>
      <c r="U30" s="63"/>
      <c r="V30" s="66"/>
      <c r="W30" s="67"/>
    </row>
    <row r="31" spans="1:23" x14ac:dyDescent="0.25">
      <c r="A31" s="4">
        <v>3</v>
      </c>
      <c r="B31" s="76" t="s">
        <v>68</v>
      </c>
      <c r="C31" s="77">
        <v>122</v>
      </c>
      <c r="D31" s="82">
        <v>20</v>
      </c>
      <c r="E31" s="42">
        <f t="shared" si="1"/>
        <v>2440</v>
      </c>
      <c r="F31" s="22"/>
      <c r="G31" s="60"/>
      <c r="H31" s="58"/>
      <c r="I31" s="22"/>
      <c r="J31" s="62"/>
      <c r="K31" s="63"/>
      <c r="L31" s="66"/>
      <c r="M31" s="67"/>
      <c r="N31" s="22"/>
      <c r="O31" s="62"/>
      <c r="P31" s="63"/>
      <c r="Q31" s="66"/>
      <c r="R31" s="67"/>
      <c r="S31" s="22"/>
      <c r="T31" s="62"/>
      <c r="U31" s="63"/>
      <c r="V31" s="66"/>
      <c r="W31" s="67"/>
    </row>
    <row r="32" spans="1:23" ht="15.6" x14ac:dyDescent="0.3">
      <c r="A32" s="26">
        <v>3</v>
      </c>
      <c r="B32" s="80" t="s">
        <v>76</v>
      </c>
      <c r="C32" s="81">
        <v>11.5</v>
      </c>
      <c r="D32" s="82"/>
      <c r="E32" s="42">
        <f t="shared" si="1"/>
        <v>0</v>
      </c>
      <c r="F32" s="22"/>
      <c r="G32" s="19" t="s">
        <v>23</v>
      </c>
      <c r="H32" s="37"/>
      <c r="I32" s="22"/>
      <c r="J32" s="32" t="s">
        <v>19</v>
      </c>
      <c r="K32" s="33" t="s">
        <v>16</v>
      </c>
      <c r="L32" s="34" t="s">
        <v>20</v>
      </c>
      <c r="M32" s="35" t="s">
        <v>16</v>
      </c>
      <c r="N32" s="22"/>
      <c r="O32" s="32" t="s">
        <v>19</v>
      </c>
      <c r="P32" s="33" t="s">
        <v>16</v>
      </c>
      <c r="Q32" s="34" t="s">
        <v>20</v>
      </c>
      <c r="R32" s="35" t="s">
        <v>16</v>
      </c>
      <c r="S32" s="22"/>
      <c r="T32" s="32" t="s">
        <v>19</v>
      </c>
      <c r="U32" s="33" t="s">
        <v>16</v>
      </c>
      <c r="V32" s="34" t="s">
        <v>20</v>
      </c>
      <c r="W32" s="35" t="s">
        <v>16</v>
      </c>
    </row>
    <row r="33" spans="1:23" x14ac:dyDescent="0.25">
      <c r="A33" s="25">
        <v>3</v>
      </c>
      <c r="B33" s="78" t="s">
        <v>77</v>
      </c>
      <c r="C33" s="79">
        <v>26.5</v>
      </c>
      <c r="D33" s="83"/>
      <c r="E33" s="43">
        <f t="shared" si="1"/>
        <v>0</v>
      </c>
      <c r="F33" s="22"/>
      <c r="G33" s="60" t="s">
        <v>25</v>
      </c>
      <c r="H33" s="57">
        <v>67.900000000000006</v>
      </c>
      <c r="I33" s="22"/>
      <c r="J33" s="62" t="s">
        <v>80</v>
      </c>
      <c r="K33" s="63">
        <f>0.15*H33*122</f>
        <v>1242.5700000000002</v>
      </c>
      <c r="L33" s="66" t="s">
        <v>70</v>
      </c>
      <c r="M33" s="67">
        <v>900</v>
      </c>
      <c r="N33" s="22"/>
      <c r="O33" s="62"/>
      <c r="P33" s="63"/>
      <c r="Q33" s="66" t="s">
        <v>57</v>
      </c>
      <c r="R33" s="67">
        <f>5*11.5</f>
        <v>57.5</v>
      </c>
      <c r="S33" s="22"/>
      <c r="T33" s="62"/>
      <c r="U33" s="63"/>
      <c r="V33" s="66" t="s">
        <v>57</v>
      </c>
      <c r="W33" s="67">
        <f>5*26.5</f>
        <v>132.5</v>
      </c>
    </row>
    <row r="34" spans="1:23" x14ac:dyDescent="0.25">
      <c r="A34" s="4">
        <v>4</v>
      </c>
      <c r="B34" s="76" t="s">
        <v>68</v>
      </c>
      <c r="C34" s="77">
        <v>122</v>
      </c>
      <c r="D34" s="86">
        <v>20</v>
      </c>
      <c r="E34" s="42">
        <f t="shared" si="1"/>
        <v>2440</v>
      </c>
      <c r="F34" s="22"/>
      <c r="G34" s="60" t="s">
        <v>26</v>
      </c>
      <c r="H34" s="57">
        <v>27.58</v>
      </c>
      <c r="I34" s="22"/>
      <c r="J34" s="62" t="s">
        <v>69</v>
      </c>
      <c r="K34" s="63">
        <f>0.15*H34*122</f>
        <v>504.71399999999994</v>
      </c>
      <c r="L34" s="66" t="s">
        <v>71</v>
      </c>
      <c r="M34" s="67">
        <v>287</v>
      </c>
      <c r="N34" s="22"/>
      <c r="O34" s="62"/>
      <c r="P34" s="63"/>
      <c r="Q34" s="68"/>
      <c r="R34" s="69"/>
      <c r="S34" s="22"/>
      <c r="T34" s="62"/>
      <c r="U34" s="63"/>
      <c r="V34" s="68"/>
      <c r="W34" s="69"/>
    </row>
    <row r="35" spans="1:23" x14ac:dyDescent="0.25">
      <c r="A35" s="4">
        <v>4</v>
      </c>
      <c r="B35" s="76" t="s">
        <v>76</v>
      </c>
      <c r="C35" s="77">
        <v>11.5</v>
      </c>
      <c r="D35" s="86"/>
      <c r="E35" s="42">
        <f t="shared" si="1"/>
        <v>0</v>
      </c>
      <c r="F35" s="22"/>
      <c r="G35" s="60" t="s">
        <v>24</v>
      </c>
      <c r="H35" s="57">
        <v>18.55</v>
      </c>
      <c r="I35" s="22"/>
      <c r="J35" s="62" t="s">
        <v>52</v>
      </c>
      <c r="K35" s="63">
        <f>0.15*H35*122</f>
        <v>339.46500000000003</v>
      </c>
      <c r="L35" s="66"/>
      <c r="M35" s="67"/>
      <c r="N35" s="22"/>
      <c r="O35" s="62"/>
      <c r="P35" s="63"/>
      <c r="Q35" s="66"/>
      <c r="R35" s="67"/>
      <c r="S35" s="22"/>
      <c r="T35" s="62"/>
      <c r="U35" s="63"/>
      <c r="V35" s="66"/>
      <c r="W35" s="67"/>
    </row>
    <row r="36" spans="1:23" ht="15.6" thickBot="1" x14ac:dyDescent="0.3">
      <c r="A36" s="25">
        <v>4</v>
      </c>
      <c r="B36" s="78" t="s">
        <v>77</v>
      </c>
      <c r="C36" s="79">
        <v>26.5</v>
      </c>
      <c r="D36" s="83"/>
      <c r="E36" s="43">
        <f t="shared" si="1"/>
        <v>0</v>
      </c>
      <c r="F36" s="22"/>
      <c r="G36" s="61"/>
      <c r="H36" s="61"/>
      <c r="I36" s="22"/>
      <c r="J36" s="64"/>
      <c r="K36" s="65"/>
      <c r="L36" s="70"/>
      <c r="M36" s="71"/>
      <c r="N36" s="22"/>
      <c r="O36" s="64"/>
      <c r="P36" s="65"/>
      <c r="Q36" s="70"/>
      <c r="R36" s="71"/>
      <c r="S36" s="22"/>
      <c r="T36" s="64"/>
      <c r="U36" s="65"/>
      <c r="V36" s="70"/>
      <c r="W36" s="71"/>
    </row>
    <row r="37" spans="1:23" ht="15.6" x14ac:dyDescent="0.3">
      <c r="F37" s="22"/>
      <c r="G37" s="11" t="s">
        <v>100</v>
      </c>
      <c r="H37" s="85">
        <v>911.94</v>
      </c>
      <c r="I37" s="22"/>
      <c r="J37" s="7" t="s">
        <v>21</v>
      </c>
      <c r="K37" s="15">
        <f>SUM(K28:K31,K33:K36)</f>
        <v>2086.7490000000003</v>
      </c>
      <c r="L37" s="10" t="s">
        <v>22</v>
      </c>
      <c r="M37" s="14">
        <f>SUM(M28:M31,M33:M36)</f>
        <v>1187</v>
      </c>
      <c r="N37" s="22"/>
      <c r="O37" s="7" t="s">
        <v>21</v>
      </c>
      <c r="P37" s="15">
        <f>SUM(P28:P31,P33:P36)</f>
        <v>1840</v>
      </c>
      <c r="Q37" s="10" t="s">
        <v>22</v>
      </c>
      <c r="R37" s="14">
        <f>SUM(R28:R31,R33:R36)</f>
        <v>57.5</v>
      </c>
      <c r="S37" s="22"/>
      <c r="T37" s="7" t="s">
        <v>21</v>
      </c>
      <c r="U37" s="15">
        <f>SUM(U28:U31,U33:U36)</f>
        <v>4240</v>
      </c>
      <c r="V37" s="10" t="s">
        <v>22</v>
      </c>
      <c r="W37" s="14">
        <f>SUM(W28:W31,W33:W36)</f>
        <v>132.5</v>
      </c>
    </row>
    <row r="38" spans="1:23" ht="15.6" x14ac:dyDescent="0.3">
      <c r="C38" s="89" t="s">
        <v>87</v>
      </c>
      <c r="D38" s="89"/>
      <c r="E38" s="41">
        <f>SUM(E25:E36)/12</f>
        <v>1053.2666666666667</v>
      </c>
      <c r="F38" s="22"/>
      <c r="G38" s="18"/>
      <c r="H38" s="24"/>
      <c r="I38" s="22"/>
      <c r="N38" s="22"/>
      <c r="S38" s="22"/>
    </row>
    <row r="39" spans="1:23" ht="16.2" thickBot="1" x14ac:dyDescent="0.35">
      <c r="F39" s="22"/>
      <c r="G39" s="18" t="s">
        <v>27</v>
      </c>
      <c r="H39" s="24">
        <f>H30-H37</f>
        <v>707.56</v>
      </c>
      <c r="I39" s="22"/>
      <c r="J39" s="1" t="s">
        <v>91</v>
      </c>
      <c r="K39" s="16">
        <f>K37-M37</f>
        <v>899.74900000000025</v>
      </c>
      <c r="N39" s="22"/>
      <c r="O39" s="1" t="s">
        <v>91</v>
      </c>
      <c r="P39" s="16">
        <f>P37-R37</f>
        <v>1782.5</v>
      </c>
      <c r="S39" s="22"/>
      <c r="T39" s="1" t="s">
        <v>91</v>
      </c>
      <c r="U39" s="16">
        <f>U37-W37</f>
        <v>4107.5</v>
      </c>
    </row>
    <row r="40" spans="1:23" ht="15.6" thickTop="1" x14ac:dyDescent="0.25">
      <c r="F40" s="22"/>
      <c r="I40" s="22"/>
      <c r="N40" s="22"/>
      <c r="S40" s="22"/>
    </row>
    <row r="41" spans="1:23" x14ac:dyDescent="0.25">
      <c r="F41" s="22"/>
      <c r="G41" s="21"/>
      <c r="H41" s="21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1:23" x14ac:dyDescent="0.25">
      <c r="F42" s="22"/>
      <c r="I42" s="22"/>
      <c r="N42" s="22"/>
      <c r="S42" s="22"/>
    </row>
    <row r="43" spans="1:23" ht="15.6" x14ac:dyDescent="0.3">
      <c r="F43" s="22"/>
      <c r="G43" s="94" t="s">
        <v>30</v>
      </c>
      <c r="H43" s="94"/>
      <c r="I43" s="87"/>
      <c r="J43" s="95" t="s">
        <v>65</v>
      </c>
      <c r="K43" s="95"/>
      <c r="L43" s="95"/>
      <c r="M43" s="95"/>
      <c r="N43" s="87"/>
      <c r="O43" s="95" t="s">
        <v>41</v>
      </c>
      <c r="P43" s="95"/>
      <c r="Q43" s="95"/>
      <c r="R43" s="95"/>
      <c r="S43" s="87"/>
      <c r="T43" s="95" t="s">
        <v>61</v>
      </c>
      <c r="U43" s="95"/>
      <c r="V43" s="95"/>
      <c r="W43" s="95"/>
    </row>
    <row r="44" spans="1:23" ht="15.6" x14ac:dyDescent="0.3">
      <c r="F44" s="22"/>
      <c r="G44" s="88"/>
      <c r="H44" s="88"/>
      <c r="I44" s="87"/>
      <c r="J44" s="76"/>
      <c r="K44" s="76"/>
      <c r="L44" s="76"/>
      <c r="M44" s="76"/>
      <c r="N44" s="87"/>
      <c r="O44" s="76"/>
      <c r="P44" s="76"/>
      <c r="Q44" s="76"/>
      <c r="R44" s="76"/>
      <c r="S44" s="87"/>
      <c r="T44" s="76"/>
      <c r="U44" s="76"/>
      <c r="V44" s="76"/>
      <c r="W44" s="76"/>
    </row>
    <row r="45" spans="1:23" ht="16.2" thickBot="1" x14ac:dyDescent="0.35">
      <c r="F45" s="22"/>
      <c r="G45" s="13"/>
      <c r="H45" s="13"/>
      <c r="I45" s="23"/>
      <c r="J45" s="90" t="s">
        <v>13</v>
      </c>
      <c r="K45" s="90"/>
      <c r="L45" s="91" t="s">
        <v>14</v>
      </c>
      <c r="M45" s="91"/>
      <c r="N45" s="23"/>
      <c r="O45" s="90" t="s">
        <v>13</v>
      </c>
      <c r="P45" s="90"/>
      <c r="Q45" s="91" t="s">
        <v>14</v>
      </c>
      <c r="R45" s="91"/>
      <c r="S45" s="23"/>
      <c r="T45" s="90" t="s">
        <v>13</v>
      </c>
      <c r="U45" s="90"/>
      <c r="V45" s="91" t="s">
        <v>14</v>
      </c>
      <c r="W45" s="91"/>
    </row>
    <row r="46" spans="1:23" x14ac:dyDescent="0.25">
      <c r="F46" s="22"/>
      <c r="I46" s="22"/>
      <c r="J46" s="5"/>
      <c r="K46" s="6"/>
      <c r="L46" s="8"/>
      <c r="M46" s="9"/>
      <c r="N46" s="22"/>
      <c r="O46" s="5"/>
      <c r="P46" s="6"/>
      <c r="Q46" s="8"/>
      <c r="R46" s="9"/>
      <c r="S46" s="22"/>
      <c r="T46" s="5"/>
      <c r="U46" s="6"/>
      <c r="V46" s="8"/>
      <c r="W46" s="9"/>
    </row>
    <row r="47" spans="1:23" ht="15.6" x14ac:dyDescent="0.3">
      <c r="F47" s="22"/>
      <c r="G47" s="20" t="s">
        <v>15</v>
      </c>
      <c r="I47" s="22"/>
      <c r="J47" s="32" t="s">
        <v>17</v>
      </c>
      <c r="K47" s="33" t="s">
        <v>16</v>
      </c>
      <c r="L47" s="34" t="s">
        <v>18</v>
      </c>
      <c r="M47" s="35" t="s">
        <v>16</v>
      </c>
      <c r="N47" s="22"/>
      <c r="O47" s="32" t="s">
        <v>17</v>
      </c>
      <c r="P47" s="33" t="s">
        <v>16</v>
      </c>
      <c r="Q47" s="34" t="s">
        <v>18</v>
      </c>
      <c r="R47" s="35" t="s">
        <v>16</v>
      </c>
      <c r="S47" s="22"/>
      <c r="T47" s="32" t="s">
        <v>17</v>
      </c>
      <c r="U47" s="33" t="s">
        <v>16</v>
      </c>
      <c r="V47" s="34" t="s">
        <v>18</v>
      </c>
      <c r="W47" s="35" t="s">
        <v>16</v>
      </c>
    </row>
    <row r="48" spans="1:23" x14ac:dyDescent="0.25">
      <c r="F48" s="22"/>
      <c r="G48" s="59" t="s">
        <v>37</v>
      </c>
      <c r="H48" s="58">
        <v>125</v>
      </c>
      <c r="I48" s="22"/>
      <c r="J48" s="62"/>
      <c r="K48" s="63"/>
      <c r="L48" s="66"/>
      <c r="M48" s="67"/>
      <c r="N48" s="22"/>
      <c r="O48" s="62" t="s">
        <v>88</v>
      </c>
      <c r="P48" s="63">
        <f>160*11.5</f>
        <v>1840</v>
      </c>
      <c r="Q48" s="66"/>
      <c r="R48" s="67"/>
      <c r="S48" s="22"/>
      <c r="T48" s="62" t="s">
        <v>88</v>
      </c>
      <c r="U48" s="63">
        <f>160*26.5</f>
        <v>4240</v>
      </c>
      <c r="V48" s="66"/>
      <c r="W48" s="67"/>
    </row>
    <row r="49" spans="6:23" x14ac:dyDescent="0.25">
      <c r="F49" s="22"/>
      <c r="G49" s="59" t="s">
        <v>38</v>
      </c>
      <c r="H49" s="56">
        <v>3.7</v>
      </c>
      <c r="I49" s="22"/>
      <c r="J49" s="62"/>
      <c r="K49" s="63"/>
      <c r="L49" s="66"/>
      <c r="M49" s="67"/>
      <c r="N49" s="22"/>
      <c r="O49" s="62"/>
      <c r="P49" s="63"/>
      <c r="Q49" s="66"/>
      <c r="R49" s="67"/>
      <c r="S49" s="22"/>
      <c r="T49" s="62"/>
      <c r="U49" s="63"/>
      <c r="V49" s="66"/>
      <c r="W49" s="67"/>
    </row>
    <row r="50" spans="6:23" x14ac:dyDescent="0.25">
      <c r="F50" s="22"/>
      <c r="G50" s="59" t="s">
        <v>28</v>
      </c>
      <c r="H50" s="56">
        <f>H48*H49</f>
        <v>462.5</v>
      </c>
      <c r="I50" s="22"/>
      <c r="J50" s="62"/>
      <c r="K50" s="63"/>
      <c r="L50" s="66"/>
      <c r="M50" s="67"/>
      <c r="N50" s="22"/>
      <c r="O50" s="62"/>
      <c r="P50" s="63"/>
      <c r="Q50" s="66"/>
      <c r="R50" s="67"/>
      <c r="S50" s="22"/>
      <c r="T50" s="62"/>
      <c r="U50" s="63"/>
      <c r="V50" s="66"/>
      <c r="W50" s="67"/>
    </row>
    <row r="51" spans="6:23" x14ac:dyDescent="0.25">
      <c r="F51" s="22"/>
      <c r="G51" s="60"/>
      <c r="H51" s="58"/>
      <c r="I51" s="22"/>
      <c r="J51" s="62"/>
      <c r="K51" s="63"/>
      <c r="L51" s="66"/>
      <c r="M51" s="67"/>
      <c r="N51" s="22"/>
      <c r="O51" s="62"/>
      <c r="P51" s="63"/>
      <c r="Q51" s="66"/>
      <c r="R51" s="67"/>
      <c r="S51" s="22"/>
      <c r="T51" s="62"/>
      <c r="U51" s="63"/>
      <c r="V51" s="66"/>
      <c r="W51" s="67"/>
    </row>
    <row r="52" spans="6:23" ht="15.6" x14ac:dyDescent="0.3">
      <c r="F52" s="22"/>
      <c r="G52" s="19" t="s">
        <v>23</v>
      </c>
      <c r="H52" s="17"/>
      <c r="I52" s="22"/>
      <c r="J52" s="32" t="s">
        <v>19</v>
      </c>
      <c r="K52" s="33" t="s">
        <v>16</v>
      </c>
      <c r="L52" s="34" t="s">
        <v>20</v>
      </c>
      <c r="M52" s="35" t="s">
        <v>16</v>
      </c>
      <c r="N52" s="22"/>
      <c r="O52" s="32" t="s">
        <v>19</v>
      </c>
      <c r="P52" s="33" t="s">
        <v>16</v>
      </c>
      <c r="Q52" s="34" t="s">
        <v>20</v>
      </c>
      <c r="R52" s="35" t="s">
        <v>16</v>
      </c>
      <c r="S52" s="22"/>
      <c r="T52" s="32" t="s">
        <v>19</v>
      </c>
      <c r="U52" s="33" t="s">
        <v>16</v>
      </c>
      <c r="V52" s="34" t="s">
        <v>20</v>
      </c>
      <c r="W52" s="35" t="s">
        <v>16</v>
      </c>
    </row>
    <row r="53" spans="6:23" x14ac:dyDescent="0.25">
      <c r="F53" s="22"/>
      <c r="G53" s="60" t="s">
        <v>25</v>
      </c>
      <c r="H53" s="58">
        <v>36.86</v>
      </c>
      <c r="I53" s="22"/>
      <c r="J53" s="62" t="s">
        <v>51</v>
      </c>
      <c r="K53" s="63">
        <f>0.15*H53*122</f>
        <v>674.53800000000001</v>
      </c>
      <c r="L53" s="66" t="s">
        <v>70</v>
      </c>
      <c r="M53" s="67">
        <v>900</v>
      </c>
      <c r="N53" s="22"/>
      <c r="O53" s="62"/>
      <c r="P53" s="63"/>
      <c r="Q53" s="66" t="s">
        <v>57</v>
      </c>
      <c r="R53" s="67">
        <f>5*11.5</f>
        <v>57.5</v>
      </c>
      <c r="S53" s="22"/>
      <c r="T53" s="62"/>
      <c r="U53" s="63"/>
      <c r="V53" s="66" t="s">
        <v>57</v>
      </c>
      <c r="W53" s="67">
        <f>5*26.5</f>
        <v>132.5</v>
      </c>
    </row>
    <row r="54" spans="6:23" x14ac:dyDescent="0.25">
      <c r="F54" s="22"/>
      <c r="G54" s="60" t="s">
        <v>26</v>
      </c>
      <c r="H54" s="58">
        <v>14.97</v>
      </c>
      <c r="I54" s="22"/>
      <c r="J54" s="62" t="s">
        <v>69</v>
      </c>
      <c r="K54" s="63">
        <f>0.15*H54*122</f>
        <v>273.95099999999996</v>
      </c>
      <c r="L54" s="66" t="s">
        <v>71</v>
      </c>
      <c r="M54" s="67">
        <v>287</v>
      </c>
      <c r="N54" s="22"/>
      <c r="O54" s="62"/>
      <c r="P54" s="63"/>
      <c r="Q54" s="68"/>
      <c r="R54" s="69"/>
      <c r="S54" s="22"/>
      <c r="T54" s="62"/>
      <c r="U54" s="63"/>
      <c r="V54" s="68"/>
      <c r="W54" s="69"/>
    </row>
    <row r="55" spans="6:23" x14ac:dyDescent="0.25">
      <c r="F55" s="22"/>
      <c r="G55" s="60" t="s">
        <v>24</v>
      </c>
      <c r="H55" s="58">
        <v>10.07</v>
      </c>
      <c r="I55" s="22"/>
      <c r="J55" s="62" t="s">
        <v>52</v>
      </c>
      <c r="K55" s="63">
        <f>0.15*H55*122</f>
        <v>184.28100000000001</v>
      </c>
      <c r="L55" s="66"/>
      <c r="M55" s="67"/>
      <c r="N55" s="22"/>
      <c r="O55" s="62"/>
      <c r="P55" s="63"/>
      <c r="Q55" s="66"/>
      <c r="R55" s="67"/>
      <c r="S55" s="22"/>
      <c r="T55" s="62"/>
      <c r="U55" s="63"/>
      <c r="V55" s="66"/>
      <c r="W55" s="67"/>
    </row>
    <row r="56" spans="6:23" ht="15.6" thickBot="1" x14ac:dyDescent="0.3">
      <c r="F56" s="22"/>
      <c r="G56" s="61"/>
      <c r="H56" s="61"/>
      <c r="I56" s="22"/>
      <c r="J56" s="64"/>
      <c r="K56" s="65"/>
      <c r="L56" s="70"/>
      <c r="M56" s="71"/>
      <c r="N56" s="22"/>
      <c r="O56" s="64"/>
      <c r="P56" s="65"/>
      <c r="Q56" s="70"/>
      <c r="R56" s="71"/>
      <c r="S56" s="22"/>
      <c r="T56" s="64"/>
      <c r="U56" s="65"/>
      <c r="V56" s="70"/>
      <c r="W56" s="71"/>
    </row>
    <row r="57" spans="6:23" ht="15.6" x14ac:dyDescent="0.3">
      <c r="F57" s="22"/>
      <c r="G57" s="11" t="s">
        <v>100</v>
      </c>
      <c r="H57" s="85">
        <v>335.67</v>
      </c>
      <c r="I57" s="22"/>
      <c r="J57" s="7" t="s">
        <v>21</v>
      </c>
      <c r="K57" s="15">
        <f>SUM(K48:K51,K53:K56)</f>
        <v>1132.77</v>
      </c>
      <c r="L57" s="10" t="s">
        <v>22</v>
      </c>
      <c r="M57" s="14">
        <f>SUM(M48:M51,M53:M56)</f>
        <v>1187</v>
      </c>
      <c r="N57" s="22"/>
      <c r="O57" s="7" t="s">
        <v>21</v>
      </c>
      <c r="P57" s="15">
        <f>SUM(P48:P51,P53:P56)</f>
        <v>1840</v>
      </c>
      <c r="Q57" s="10" t="s">
        <v>22</v>
      </c>
      <c r="R57" s="14">
        <f>SUM(R48:R51,R53:R56)</f>
        <v>57.5</v>
      </c>
      <c r="S57" s="22"/>
      <c r="T57" s="7" t="s">
        <v>21</v>
      </c>
      <c r="U57" s="15">
        <f>SUM(U48:U51,U53:U56)</f>
        <v>4240</v>
      </c>
      <c r="V57" s="10" t="s">
        <v>22</v>
      </c>
      <c r="W57" s="14">
        <f>SUM(W48:W51,W53:W56)</f>
        <v>132.5</v>
      </c>
    </row>
    <row r="58" spans="6:23" ht="15.6" x14ac:dyDescent="0.3">
      <c r="F58" s="22"/>
      <c r="G58" s="18"/>
      <c r="H58" s="24"/>
      <c r="I58" s="22"/>
      <c r="N58" s="22"/>
      <c r="S58" s="22"/>
    </row>
    <row r="59" spans="6:23" ht="16.2" thickBot="1" x14ac:dyDescent="0.35">
      <c r="F59" s="22"/>
      <c r="G59" s="18" t="s">
        <v>27</v>
      </c>
      <c r="H59" s="24">
        <f>H50-H57</f>
        <v>126.82999999999998</v>
      </c>
      <c r="I59" s="22"/>
      <c r="J59" s="1" t="s">
        <v>91</v>
      </c>
      <c r="K59" s="16">
        <f>K57-M57</f>
        <v>-54.230000000000018</v>
      </c>
      <c r="N59" s="22"/>
      <c r="O59" s="1" t="s">
        <v>91</v>
      </c>
      <c r="P59" s="16">
        <f>P57-R57</f>
        <v>1782.5</v>
      </c>
      <c r="S59" s="22"/>
      <c r="T59" s="1" t="s">
        <v>91</v>
      </c>
      <c r="U59" s="16">
        <f>U57-W57</f>
        <v>4107.5</v>
      </c>
    </row>
    <row r="60" spans="6:23" ht="15.6" thickTop="1" x14ac:dyDescent="0.25"/>
  </sheetData>
  <sheetProtection selectLockedCells="1"/>
  <mergeCells count="36">
    <mergeCell ref="O5:P5"/>
    <mergeCell ref="Q5:R5"/>
    <mergeCell ref="T5:U5"/>
    <mergeCell ref="V5:W5"/>
    <mergeCell ref="A1:E1"/>
    <mergeCell ref="A2:E2"/>
    <mergeCell ref="G3:H3"/>
    <mergeCell ref="O3:R3"/>
    <mergeCell ref="T3:W3"/>
    <mergeCell ref="C19:D19"/>
    <mergeCell ref="C20:D20"/>
    <mergeCell ref="C21:D21"/>
    <mergeCell ref="G23:H23"/>
    <mergeCell ref="O23:R23"/>
    <mergeCell ref="T45:U45"/>
    <mergeCell ref="V45:W45"/>
    <mergeCell ref="J3:M3"/>
    <mergeCell ref="J5:K5"/>
    <mergeCell ref="L5:M5"/>
    <mergeCell ref="J23:M23"/>
    <mergeCell ref="J25:K25"/>
    <mergeCell ref="L25:M25"/>
    <mergeCell ref="O25:P25"/>
    <mergeCell ref="Q25:R25"/>
    <mergeCell ref="T25:U25"/>
    <mergeCell ref="V25:W25"/>
    <mergeCell ref="O43:R43"/>
    <mergeCell ref="T43:W43"/>
    <mergeCell ref="J43:M43"/>
    <mergeCell ref="T23:W23"/>
    <mergeCell ref="J45:K45"/>
    <mergeCell ref="L45:M45"/>
    <mergeCell ref="C38:D38"/>
    <mergeCell ref="O45:P45"/>
    <mergeCell ref="Q45:R45"/>
    <mergeCell ref="G43:H4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5FB3-72BA-48C2-8D59-BD7AD3F88C5F}">
  <sheetPr>
    <tabColor rgb="FFFF00FF"/>
    <pageSetUpPr fitToPage="1"/>
  </sheetPr>
  <dimension ref="A1:E9"/>
  <sheetViews>
    <sheetView workbookViewId="0">
      <selection activeCell="G4" sqref="G4"/>
    </sheetView>
  </sheetViews>
  <sheetFormatPr defaultRowHeight="15.6" x14ac:dyDescent="0.3"/>
  <cols>
    <col min="1" max="1" width="22.36328125" style="1" customWidth="1"/>
    <col min="2" max="5" width="14.81640625" style="1" customWidth="1"/>
    <col min="6" max="16384" width="8.7265625" style="1"/>
  </cols>
  <sheetData>
    <row r="1" spans="1:5" ht="62.4" x14ac:dyDescent="0.3">
      <c r="A1" s="45"/>
      <c r="B1" s="52" t="s">
        <v>45</v>
      </c>
      <c r="C1" s="53" t="s">
        <v>79</v>
      </c>
      <c r="D1" s="54" t="s">
        <v>58</v>
      </c>
      <c r="E1" s="55" t="s">
        <v>62</v>
      </c>
    </row>
    <row r="2" spans="1:5" ht="36.6" customHeight="1" x14ac:dyDescent="0.3">
      <c r="A2" s="46" t="s">
        <v>90</v>
      </c>
      <c r="B2" s="47">
        <f>'Scenario 1'!E19</f>
        <v>318827.53499999997</v>
      </c>
      <c r="C2" s="47">
        <f>'Scenario 2'!E19</f>
        <v>305583.495</v>
      </c>
      <c r="D2" s="47">
        <f>'Scenario 3'!E19</f>
        <v>300318.74</v>
      </c>
      <c r="E2" s="47">
        <f>'Scenario 4'!E19</f>
        <v>301443.39299999992</v>
      </c>
    </row>
    <row r="3" spans="1:5" ht="36.6" customHeight="1" x14ac:dyDescent="0.3">
      <c r="A3" s="46" t="s">
        <v>97</v>
      </c>
      <c r="B3" s="47">
        <v>0</v>
      </c>
      <c r="C3" s="47">
        <f>'Scenario 2'!P8+'Scenario 2'!P9+'Scenario 2'!P28+'Scenario 2'!P48+'Scenario 2'!P48</f>
        <v>17755</v>
      </c>
      <c r="D3" s="47">
        <f>'Scenario 3'!K8+'Scenario 3'!K9+'Scenario 3'!P8+'Scenario 3'!P9+'Scenario 3'!K28+'Scenario 3'!P28+'Scenario 3'!K48+'Scenario 3'!P48+'Scenario 3'!K48+'Scenario 3'!P48</f>
        <v>25460</v>
      </c>
      <c r="E3" s="47">
        <f>D3</f>
        <v>25460</v>
      </c>
    </row>
    <row r="4" spans="1:5" ht="36.6" customHeight="1" x14ac:dyDescent="0.3">
      <c r="A4" s="46" t="s">
        <v>98</v>
      </c>
      <c r="B4" s="47">
        <f>B2-B3</f>
        <v>318827.53499999997</v>
      </c>
      <c r="C4" s="47">
        <f>C2-C3</f>
        <v>287828.495</v>
      </c>
      <c r="D4" s="47">
        <f t="shared" ref="D4:E4" si="0">D2-D3</f>
        <v>274858.74</v>
      </c>
      <c r="E4" s="47">
        <f t="shared" si="0"/>
        <v>275983.39299999992</v>
      </c>
    </row>
    <row r="5" spans="1:5" ht="36.6" customHeight="1" x14ac:dyDescent="0.3">
      <c r="A5" s="46" t="s">
        <v>99</v>
      </c>
      <c r="B5" s="47">
        <f>('Scenario 1'!H17*160)+('Scenario 1'!H37*160)+('Scenario 1'!H57*160*2)</f>
        <v>549652.80000000005</v>
      </c>
      <c r="C5" s="47">
        <f>('Scenario 2'!H17*133.5)+('Scenario 2'!H37*133.5)+('Scenario 2'!H57*133.5*2)</f>
        <v>458616.55499999999</v>
      </c>
      <c r="D5" s="47">
        <f>('Scenario 3'!H17*122)+('Scenario 3'!H37*122)+('Scenario 3'!H57*122*2)</f>
        <v>419110.26</v>
      </c>
      <c r="E5" s="47">
        <f>(1852.05*122)+(911.94*122)+(335.67*122*2)-'Scenario 4'!K17-'Scenario 4'!K37-'Scenario 4'!K57-'Scenario 4'!K57</f>
        <v>413237.60699999996</v>
      </c>
    </row>
    <row r="6" spans="1:5" ht="36.6" customHeight="1" x14ac:dyDescent="0.3">
      <c r="A6" s="46" t="s">
        <v>93</v>
      </c>
      <c r="B6" s="48">
        <f>'Scenario 1'!E38</f>
        <v>1595.1166666666668</v>
      </c>
      <c r="C6" s="48">
        <f>'Scenario 2'!E38</f>
        <v>1305.1625000000001</v>
      </c>
      <c r="D6" s="48">
        <f>'Scenario 3'!E38</f>
        <v>1179.3333333333333</v>
      </c>
      <c r="E6" s="48">
        <f>'Scenario 4'!E38</f>
        <v>1053.2666666666667</v>
      </c>
    </row>
    <row r="7" spans="1:5" ht="36.6" customHeight="1" x14ac:dyDescent="0.3">
      <c r="A7" s="46" t="s">
        <v>94</v>
      </c>
      <c r="B7" s="48">
        <f>B6-B6</f>
        <v>0</v>
      </c>
      <c r="C7" s="48">
        <f>$B$6-C6</f>
        <v>289.95416666666665</v>
      </c>
      <c r="D7" s="48">
        <f>$B$6-D6</f>
        <v>415.78333333333353</v>
      </c>
      <c r="E7" s="48">
        <f>$B$6-E6</f>
        <v>541.85000000000014</v>
      </c>
    </row>
    <row r="8" spans="1:5" ht="36.6" customHeight="1" x14ac:dyDescent="0.3">
      <c r="A8" s="46" t="s">
        <v>95</v>
      </c>
      <c r="B8" s="49">
        <f>B7/$B$6</f>
        <v>0</v>
      </c>
      <c r="C8" s="49">
        <f t="shared" ref="C8:E8" si="1">C7/$B$6</f>
        <v>0.18177615012486023</v>
      </c>
      <c r="D8" s="49">
        <f t="shared" si="1"/>
        <v>0.26066013980168651</v>
      </c>
      <c r="E8" s="49">
        <f t="shared" si="1"/>
        <v>0.33969302140909241</v>
      </c>
    </row>
    <row r="9" spans="1:5" ht="36.6" customHeight="1" x14ac:dyDescent="0.3">
      <c r="A9" s="1" t="s">
        <v>96</v>
      </c>
      <c r="B9" s="50"/>
      <c r="C9" s="51">
        <f>(B2-C2)/C7</f>
        <v>45.676322407276942</v>
      </c>
      <c r="D9" s="51">
        <f>(B2-D2)/D7</f>
        <v>44.515480819336936</v>
      </c>
      <c r="E9" s="51">
        <f>(B2-E2)/E7</f>
        <v>32.08294177355365</v>
      </c>
    </row>
  </sheetData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Scenario 1</vt:lpstr>
      <vt:lpstr>Scenario 2</vt:lpstr>
      <vt:lpstr>Scenario 3</vt:lpstr>
      <vt:lpstr>Scenario 4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</cp:lastModifiedBy>
  <cp:lastPrinted>2019-10-16T14:38:27Z</cp:lastPrinted>
  <dcterms:created xsi:type="dcterms:W3CDTF">2019-10-03T16:04:03Z</dcterms:created>
  <dcterms:modified xsi:type="dcterms:W3CDTF">2020-03-19T18:32:12Z</dcterms:modified>
</cp:coreProperties>
</file>