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vandalsuidaho-my.sharepoint.com/personal/aulliman_uidaho_edu/Documents/Website/"/>
    </mc:Choice>
  </mc:AlternateContent>
  <xr:revisionPtr revIDLastSave="0" documentId="8_{37725CA4-9590-4444-8034-45E3B9084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ots" sheetId="2" r:id="rId1"/>
    <sheet name="Emissions" sheetId="1" r:id="rId2"/>
    <sheet name="Wood Boiler Performance" sheetId="3" r:id="rId3"/>
    <sheet name="Steam" sheetId="8" r:id="rId4"/>
    <sheet name="Water Usage" sheetId="4" r:id="rId5"/>
    <sheet name="Chilled Water" sheetId="5" r:id="rId6"/>
    <sheet name="Campus Electricity" sheetId="6" r:id="rId7"/>
    <sheet name="Natural Ga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8" l="1"/>
  <c r="F22" i="8"/>
  <c r="H22" i="8" s="1"/>
  <c r="H21" i="8"/>
  <c r="G21" i="8"/>
  <c r="F21" i="8"/>
  <c r="H4" i="8" l="1"/>
  <c r="J24" i="3"/>
  <c r="D24" i="5"/>
  <c r="N57" i="5"/>
  <c r="N56" i="5"/>
  <c r="N49" i="5" l="1"/>
  <c r="N48" i="5"/>
  <c r="N47" i="5"/>
  <c r="N46" i="5"/>
  <c r="N45" i="5"/>
  <c r="N44" i="5"/>
  <c r="F46" i="4" l="1"/>
  <c r="I24" i="7" l="1"/>
  <c r="I23" i="7"/>
  <c r="F23" i="7"/>
  <c r="G23" i="7" s="1"/>
  <c r="F24" i="7"/>
  <c r="G24" i="7" s="1"/>
  <c r="D23" i="6" l="1"/>
  <c r="D24" i="6"/>
  <c r="E23" i="4" l="1"/>
  <c r="H25" i="3"/>
  <c r="I25" i="3"/>
  <c r="E24" i="3"/>
  <c r="F24" i="3" s="1"/>
  <c r="J23" i="3"/>
  <c r="E23" i="3"/>
  <c r="E22" i="4" l="1"/>
  <c r="F23" i="3"/>
  <c r="J6" i="3" l="1"/>
  <c r="D22" i="6" l="1"/>
  <c r="H22" i="1" l="1"/>
  <c r="H23" i="1"/>
  <c r="G22" i="1"/>
  <c r="G23" i="1"/>
  <c r="F23" i="1"/>
  <c r="F22" i="1"/>
  <c r="I22" i="7" l="1"/>
  <c r="F22" i="7"/>
  <c r="J22" i="3"/>
  <c r="J12" i="3"/>
  <c r="J11" i="3"/>
  <c r="J10" i="3"/>
  <c r="J9" i="3"/>
  <c r="J8" i="3"/>
  <c r="J7" i="3"/>
  <c r="J21" i="3" l="1"/>
  <c r="E22" i="3"/>
  <c r="F22" i="3" s="1"/>
  <c r="F45" i="4"/>
  <c r="E21" i="4"/>
  <c r="F44" i="4"/>
  <c r="J13" i="3" l="1"/>
  <c r="J14" i="3"/>
  <c r="J15" i="3"/>
  <c r="J16" i="3"/>
  <c r="J17" i="3"/>
  <c r="J18" i="3"/>
  <c r="J19" i="3"/>
  <c r="J20" i="3"/>
  <c r="D13" i="5" l="1"/>
  <c r="D14" i="5"/>
  <c r="D15" i="5"/>
  <c r="D16" i="5"/>
  <c r="D17" i="5"/>
  <c r="D12" i="5"/>
  <c r="D5" i="5"/>
  <c r="D6" i="5"/>
  <c r="D7" i="5"/>
  <c r="D8" i="5"/>
  <c r="D9" i="5"/>
  <c r="D10" i="5"/>
  <c r="D11" i="5"/>
  <c r="D18" i="5"/>
  <c r="D19" i="5"/>
  <c r="D20" i="5"/>
  <c r="D21" i="5"/>
  <c r="D4" i="5"/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4" i="7"/>
  <c r="F4" i="8" l="1"/>
  <c r="G17" i="8" l="1"/>
  <c r="G16" i="8" l="1"/>
  <c r="G15" i="8" l="1"/>
  <c r="G14" i="8" l="1"/>
  <c r="G13" i="8" l="1"/>
  <c r="G12" i="8" l="1"/>
  <c r="G11" i="8" l="1"/>
  <c r="G10" i="8" l="1"/>
  <c r="G9" i="8" l="1"/>
  <c r="G8" i="8" l="1"/>
  <c r="G7" i="8" l="1"/>
  <c r="G6" i="8" l="1"/>
  <c r="G5" i="8" l="1"/>
  <c r="G4" i="8" l="1"/>
  <c r="G18" i="8" l="1"/>
  <c r="G19" i="8" l="1"/>
  <c r="F5" i="8" l="1"/>
  <c r="H5" i="8" s="1"/>
  <c r="F6" i="8"/>
  <c r="H6" i="8" s="1"/>
  <c r="F7" i="8"/>
  <c r="H7" i="8" s="1"/>
  <c r="F8" i="8"/>
  <c r="H8" i="8" s="1"/>
  <c r="F9" i="8"/>
  <c r="H9" i="8" s="1"/>
  <c r="F10" i="8"/>
  <c r="H10" i="8" s="1"/>
  <c r="F11" i="8"/>
  <c r="H11" i="8" s="1"/>
  <c r="F12" i="8"/>
  <c r="H12" i="8" s="1"/>
  <c r="F13" i="8"/>
  <c r="H13" i="8" s="1"/>
  <c r="F14" i="8"/>
  <c r="H14" i="8" s="1"/>
  <c r="F15" i="8"/>
  <c r="H15" i="8" s="1"/>
  <c r="F16" i="8"/>
  <c r="H16" i="8" s="1"/>
  <c r="F17" i="8"/>
  <c r="H17" i="8" s="1"/>
  <c r="F18" i="8"/>
  <c r="H18" i="8" s="1"/>
  <c r="F19" i="8"/>
  <c r="H19" i="8" s="1"/>
  <c r="F20" i="8"/>
  <c r="H20" i="8" s="1"/>
  <c r="D21" i="6" l="1"/>
  <c r="F6" i="1" l="1"/>
  <c r="H6" i="1"/>
  <c r="F5" i="7" l="1"/>
  <c r="F6" i="7"/>
  <c r="F7" i="7"/>
  <c r="F8" i="7"/>
  <c r="F9" i="7"/>
  <c r="F10" i="7"/>
  <c r="F11" i="7"/>
  <c r="F4" i="7"/>
  <c r="G5" i="7" l="1"/>
  <c r="G22" i="7"/>
  <c r="G10" i="7"/>
  <c r="G11" i="7"/>
  <c r="G9" i="7"/>
  <c r="G8" i="7"/>
  <c r="G7" i="7"/>
  <c r="G6" i="7"/>
  <c r="D6" i="6"/>
  <c r="E6" i="3" l="1"/>
  <c r="F6" i="3" s="1"/>
  <c r="F28" i="4" l="1"/>
  <c r="F43" i="4"/>
  <c r="E20" i="4" l="1"/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E5" i="4"/>
  <c r="F21" i="7"/>
  <c r="G21" i="7" s="1"/>
  <c r="E21" i="3"/>
  <c r="F21" i="3" s="1"/>
  <c r="E19" i="4" l="1"/>
  <c r="D20" i="6"/>
  <c r="D5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F12" i="7" l="1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E18" i="4" l="1"/>
  <c r="E17" i="4"/>
  <c r="E16" i="4"/>
  <c r="E15" i="4"/>
  <c r="E14" i="4"/>
  <c r="E13" i="4"/>
  <c r="E12" i="4"/>
  <c r="E11" i="4"/>
  <c r="E10" i="4"/>
  <c r="E9" i="4"/>
  <c r="E8" i="4"/>
  <c r="E7" i="4"/>
  <c r="E6" i="4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F7" i="1" l="1"/>
  <c r="H21" i="1" l="1"/>
  <c r="G21" i="1"/>
  <c r="H20" i="1"/>
  <c r="G20" i="1"/>
  <c r="F21" i="1"/>
  <c r="F2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<sst xmlns="http://schemas.openxmlformats.org/spreadsheetml/2006/main" count="70" uniqueCount="56">
  <si>
    <t>EMISSIONS</t>
  </si>
  <si>
    <t>Tier I Emission (tons)</t>
  </si>
  <si>
    <t>Reduction of Emission from base 2002 (%)</t>
  </si>
  <si>
    <t>PM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</si>
  <si>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</si>
  <si>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NOx</t>
  </si>
  <si>
    <t>PERFORMANCE</t>
  </si>
  <si>
    <t>Year</t>
  </si>
  <si>
    <t>Steam from wood</t>
  </si>
  <si>
    <t>Wood Consumed</t>
  </si>
  <si>
    <t>Performance</t>
  </si>
  <si>
    <t>Performance Increase</t>
  </si>
  <si>
    <t>Total Fuel Cost</t>
  </si>
  <si>
    <t>Cost for all gas</t>
  </si>
  <si>
    <t>Savings from by using Wood</t>
  </si>
  <si>
    <t>(KPS/Yr)</t>
  </si>
  <si>
    <t>(BDT)</t>
  </si>
  <si>
    <t>(PS/BDT)</t>
  </si>
  <si>
    <t>(%)</t>
  </si>
  <si>
    <t>($)</t>
  </si>
  <si>
    <t>Total</t>
  </si>
  <si>
    <t>Steam by Wood (1000 lb)</t>
  </si>
  <si>
    <t>Wood cost ($/1000 lb)</t>
  </si>
  <si>
    <t>Steam by Gas (1000 lb)</t>
  </si>
  <si>
    <t>Gas cost ($/1000 lb)</t>
  </si>
  <si>
    <t>Total Steam (1000 lb)</t>
  </si>
  <si>
    <t>Total Cost</t>
  </si>
  <si>
    <t>ENERGY PLANT WATER MAKEUP</t>
  </si>
  <si>
    <t>Water Usage (gallons)</t>
  </si>
  <si>
    <t>Average Condensate return rate (%)</t>
  </si>
  <si>
    <t>Reduction from 2003 Baseline (%)</t>
  </si>
  <si>
    <t>DOMESTIC AND RECLAIMED WATER</t>
  </si>
  <si>
    <t>Domestic</t>
  </si>
  <si>
    <t>Aquaculture</t>
  </si>
  <si>
    <t>Reclaimed</t>
  </si>
  <si>
    <t>CHILLED WATER</t>
  </si>
  <si>
    <t>Production (Ton-hours)</t>
  </si>
  <si>
    <t>MMBTUs</t>
  </si>
  <si>
    <t>Note: Physical hourly logs exist of CCW production, but no Excel/ATS</t>
  </si>
  <si>
    <t>Digital data is unavailable before July 1, 2019</t>
  </si>
  <si>
    <t>Estimate since data is missing</t>
  </si>
  <si>
    <t>Estimate from previous APPA surveys</t>
  </si>
  <si>
    <t>Ton-hrs</t>
  </si>
  <si>
    <t>Peak Tons</t>
  </si>
  <si>
    <t>ELECTRICITY</t>
  </si>
  <si>
    <t>Electricity Purchased (kWh)</t>
  </si>
  <si>
    <t>Reduction from 2002 Baseline (%)</t>
  </si>
  <si>
    <t>NATURAL GAS</t>
  </si>
  <si>
    <t>Energy Plant (therms)</t>
  </si>
  <si>
    <t>Campus</t>
  </si>
  <si>
    <t>Auxilliary</t>
  </si>
  <si>
    <t>Cumulative Savings</t>
  </si>
  <si>
    <t>Avg Wood Cost ($/1000 lb)</t>
  </si>
  <si>
    <t>Avg Gas Cost ($/1000 lb)</t>
  </si>
  <si>
    <t>Fiscal Year</t>
  </si>
  <si>
    <t>% Steam by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</si>
</sst>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9" fontId="0" fillId="0" borderId="0" xfId="2" applyFont="1" applyAlignment="1">
      <alignment vertical="center" wrapText="1"/>
    </xf>
    <xf numFmtId="164" fontId="0" fillId="0" borderId="0" xfId="2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9" fontId="0" fillId="0" borderId="0" xfId="2" applyFont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vertical="center"/>
    </xf>
    <xf numFmtId="44" fontId="0" fillId="0" borderId="0" xfId="4" applyFont="1"/>
    <xf numFmtId="166" fontId="0" fillId="0" borderId="0" xfId="4" applyNumberFormat="1" applyFont="1" applyAlignment="1">
      <alignment vertical="center" wrapText="1"/>
    </xf>
    <xf numFmtId="166" fontId="0" fillId="0" borderId="0" xfId="4" applyNumberFormat="1" applyFont="1"/>
    <xf numFmtId="166" fontId="0" fillId="0" borderId="0" xfId="0" applyNumberFormat="1"/>
    <xf numFmtId="164" fontId="0" fillId="0" borderId="0" xfId="2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37" fontId="0" fillId="0" borderId="0" xfId="0" applyNumberFormat="1" applyAlignment="1">
      <alignment horizontal="right" inden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44" fontId="0" fillId="0" borderId="0" xfId="0" applyNumberFormat="1"/>
    <xf numFmtId="3" fontId="0" fillId="0" borderId="0" xfId="1" applyNumberFormat="1" applyFont="1"/>
    <xf numFmtId="0" fontId="2" fillId="0" borderId="0" xfId="0" applyFont="1" applyAlignment="1">
      <alignment horizontal="center"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1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Tier 1 Emissions (tons)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Emissions!$C$4:$C$4</c:f>
              <c:strCache>
                <c:ptCount val="1"/>
                <c:pt idx="0">
                  <c:v>PM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Emissions!$B$5:$B$23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xVal>
          <c:yVal>
            <c:numRef>
              <c:f>Emissions!$C$5:$C$23</c:f>
              <c:numCache>
                <c:formatCode>General</c:formatCode>
                <c:ptCount val="19"/>
                <c:pt idx="0">
                  <c:v>35.39</c:v>
                </c:pt>
                <c:pt idx="1">
                  <c:v>30.13</c:v>
                </c:pt>
                <c:pt idx="2">
                  <c:v>27.29</c:v>
                </c:pt>
                <c:pt idx="3">
                  <c:v>29.82</c:v>
                </c:pt>
                <c:pt idx="4">
                  <c:v>26.95</c:v>
                </c:pt>
                <c:pt idx="5">
                  <c:v>30.45</c:v>
                </c:pt>
                <c:pt idx="6">
                  <c:v>28.16</c:v>
                </c:pt>
                <c:pt idx="7">
                  <c:v>17.309999999999999</c:v>
                </c:pt>
                <c:pt idx="8">
                  <c:v>16.170000000000002</c:v>
                </c:pt>
                <c:pt idx="9">
                  <c:v>15.49</c:v>
                </c:pt>
                <c:pt idx="10">
                  <c:v>14.83</c:v>
                </c:pt>
                <c:pt idx="11">
                  <c:v>15.48</c:v>
                </c:pt>
                <c:pt idx="12">
                  <c:v>15.31</c:v>
                </c:pt>
                <c:pt idx="13">
                  <c:v>14.86</c:v>
                </c:pt>
                <c:pt idx="14">
                  <c:v>15.75</c:v>
                </c:pt>
                <c:pt idx="15">
                  <c:v>14.34</c:v>
                </c:pt>
                <c:pt idx="16">
                  <c:v>14.3</c:v>
                </c:pt>
                <c:pt idx="17">
                  <c:v>14.9</c:v>
                </c:pt>
                <c:pt idx="18">
                  <c:v>12.89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BE-4474-97C5-B8B37C7F2A1E}"/>
            </c:ext>
          </c:extLst>
        </c:ser>
        <c:ser>
          <c:idx val="1"/>
          <c:order val="1"/>
          <c:tx>
            <c:strRef>
              <c:f>Emissions!$D$4:$D$4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rgbClr val="F1B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B300"/>
              </a:solidFill>
              <a:ln w="9525">
                <a:solidFill>
                  <a:srgbClr val="F1B300"/>
                </a:solidFill>
              </a:ln>
              <a:effectLst/>
            </c:spPr>
          </c:marker>
          <c:xVal>
            <c:numRef>
              <c:f>Emissions!$B$5:$B$23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xVal>
          <c:yVal>
            <c:numRef>
              <c:f>Emissions!$D$5:$D$23</c:f>
              <c:numCache>
                <c:formatCode>General</c:formatCode>
                <c:ptCount val="19"/>
                <c:pt idx="0">
                  <c:v>76.84</c:v>
                </c:pt>
                <c:pt idx="1">
                  <c:v>65.41</c:v>
                </c:pt>
                <c:pt idx="2">
                  <c:v>59.24</c:v>
                </c:pt>
                <c:pt idx="3">
                  <c:v>64.75</c:v>
                </c:pt>
                <c:pt idx="4">
                  <c:v>58.51</c:v>
                </c:pt>
                <c:pt idx="5">
                  <c:v>66.11</c:v>
                </c:pt>
                <c:pt idx="6">
                  <c:v>54.36</c:v>
                </c:pt>
                <c:pt idx="7">
                  <c:v>13.55</c:v>
                </c:pt>
                <c:pt idx="8">
                  <c:v>12.66</c:v>
                </c:pt>
                <c:pt idx="9">
                  <c:v>12.13</c:v>
                </c:pt>
                <c:pt idx="10">
                  <c:v>11.61</c:v>
                </c:pt>
                <c:pt idx="11">
                  <c:v>12.11</c:v>
                </c:pt>
                <c:pt idx="12">
                  <c:v>11.98</c:v>
                </c:pt>
                <c:pt idx="13">
                  <c:v>11.63</c:v>
                </c:pt>
                <c:pt idx="14">
                  <c:v>12.33</c:v>
                </c:pt>
                <c:pt idx="15">
                  <c:v>11.23</c:v>
                </c:pt>
                <c:pt idx="16">
                  <c:v>11.2</c:v>
                </c:pt>
                <c:pt idx="17">
                  <c:v>11.67</c:v>
                </c:pt>
                <c:pt idx="18">
                  <c:v>10.09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BE-4474-97C5-B8B37C7F2A1E}"/>
            </c:ext>
          </c:extLst>
        </c:ser>
        <c:ser>
          <c:idx val="2"/>
          <c:order val="2"/>
          <c:tx>
            <c:strRef>
              <c:f>Emissions!$E$4:$E$4</c:f>
              <c:strCache>
                <c:ptCount val="1"/>
                <c:pt idx="0">
                  <c:v>NOx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Emissions!$B$5:$B$23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xVal>
          <c:yVal>
            <c:numRef>
              <c:f>Emissions!$E$5:$E$23</c:f>
              <c:numCache>
                <c:formatCode>General</c:formatCode>
                <c:ptCount val="19"/>
                <c:pt idx="0">
                  <c:v>33.57</c:v>
                </c:pt>
                <c:pt idx="1">
                  <c:v>28.57</c:v>
                </c:pt>
                <c:pt idx="2">
                  <c:v>25.87</c:v>
                </c:pt>
                <c:pt idx="3">
                  <c:v>28.28</c:v>
                </c:pt>
                <c:pt idx="4">
                  <c:v>25.05</c:v>
                </c:pt>
                <c:pt idx="5">
                  <c:v>28.87</c:v>
                </c:pt>
                <c:pt idx="6">
                  <c:v>36.61</c:v>
                </c:pt>
                <c:pt idx="7">
                  <c:v>20.47</c:v>
                </c:pt>
                <c:pt idx="8">
                  <c:v>15.64</c:v>
                </c:pt>
                <c:pt idx="9">
                  <c:v>38.520000000000003</c:v>
                </c:pt>
                <c:pt idx="10">
                  <c:v>37.29</c:v>
                </c:pt>
                <c:pt idx="11">
                  <c:v>37.47</c:v>
                </c:pt>
                <c:pt idx="12">
                  <c:v>37.369999999999997</c:v>
                </c:pt>
                <c:pt idx="13">
                  <c:v>36.799999999999997</c:v>
                </c:pt>
                <c:pt idx="14">
                  <c:v>32.520000000000003</c:v>
                </c:pt>
                <c:pt idx="15">
                  <c:v>29.61</c:v>
                </c:pt>
                <c:pt idx="16">
                  <c:v>29.53</c:v>
                </c:pt>
                <c:pt idx="17">
                  <c:v>30.77</c:v>
                </c:pt>
                <c:pt idx="18">
                  <c:v>26.62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BE-4474-97C5-B8B37C7F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77648"/>
        <c:axId val="378075680"/>
      </c:scatterChart>
      <c:valAx>
        <c:axId val="378077648"/>
        <c:scaling>
          <c:orientation val="minMax"/>
          <c:max val="2020"/>
          <c:min val="2002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5680"/>
        <c:crosses val="autoZero"/>
        <c:crossBetween val="midCat"/>
        <c:majorUnit val="1"/>
      </c:valAx>
      <c:valAx>
        <c:axId val="37807568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Emissions (tons)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7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Wood Boiler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'Wood Boiler Performance'!$C$3</c:f>
              <c:strCache>
                <c:ptCount val="1"/>
                <c:pt idx="0">
                  <c:v>Steam from wood</c:v>
                </c:pt>
              </c:strCache>
            </c:strRef>
          </c:tx>
          <c:spPr>
            <a:ln w="19050" cap="rnd">
              <a:solidFill>
                <a:srgbClr val="F1B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B300"/>
              </a:solidFill>
              <a:ln w="9525">
                <a:solidFill>
                  <a:srgbClr val="F1B300"/>
                </a:solidFill>
              </a:ln>
              <a:effectLst/>
            </c:spPr>
          </c:marker>
          <c:xVal>
            <c:numRef>
              <c:f>'Wood Boiler Performance'!$B$5:$B$24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xVal>
          <c:yVal>
            <c:numRef>
              <c:f>'Wood Boiler Performance'!$C$5:$C$24</c:f>
              <c:numCache>
                <c:formatCode>#,##0</c:formatCode>
                <c:ptCount val="20"/>
                <c:pt idx="0">
                  <c:v>72896</c:v>
                </c:pt>
                <c:pt idx="1">
                  <c:v>226554</c:v>
                </c:pt>
                <c:pt idx="2">
                  <c:v>249253</c:v>
                </c:pt>
                <c:pt idx="3">
                  <c:v>239897.7</c:v>
                </c:pt>
                <c:pt idx="4">
                  <c:v>235440.8</c:v>
                </c:pt>
                <c:pt idx="5">
                  <c:v>256654.18</c:v>
                </c:pt>
                <c:pt idx="6">
                  <c:v>293380</c:v>
                </c:pt>
                <c:pt idx="7">
                  <c:v>264965</c:v>
                </c:pt>
                <c:pt idx="8">
                  <c:v>270221.38</c:v>
                </c:pt>
                <c:pt idx="9">
                  <c:v>229595.61</c:v>
                </c:pt>
                <c:pt idx="10">
                  <c:v>243122.2</c:v>
                </c:pt>
                <c:pt idx="11">
                  <c:v>253026.7</c:v>
                </c:pt>
                <c:pt idx="12">
                  <c:v>255955.03</c:v>
                </c:pt>
                <c:pt idx="13">
                  <c:v>242685.1</c:v>
                </c:pt>
                <c:pt idx="14">
                  <c:v>263909</c:v>
                </c:pt>
                <c:pt idx="15">
                  <c:v>258688</c:v>
                </c:pt>
                <c:pt idx="16">
                  <c:v>270978.59999999998</c:v>
                </c:pt>
                <c:pt idx="17">
                  <c:v>234402.84</c:v>
                </c:pt>
                <c:pt idx="18">
                  <c:v>258538.5</c:v>
                </c:pt>
                <c:pt idx="19">
                  <c:v>250177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61-4645-BB86-A1CDB8AA6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810712"/>
        <c:axId val="523804480"/>
      </c:scatterChart>
      <c:scatterChart>
        <c:scatterStyle val="smoothMarker"/>
        <c:varyColors val="0"/>
        <c:ser>
          <c:idx val="0"/>
          <c:order val="1"/>
          <c:tx>
            <c:strRef>
              <c:f>'Wood Boiler Performance'!$D$3</c:f>
              <c:strCache>
                <c:ptCount val="1"/>
                <c:pt idx="0">
                  <c:v>Wood Consumed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'Wood Boiler Performance'!$B$5:$B$24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xVal>
          <c:yVal>
            <c:numRef>
              <c:f>'Wood Boiler Performance'!$D$5:$D$24</c:f>
              <c:numCache>
                <c:formatCode>#,##0</c:formatCode>
                <c:ptCount val="20"/>
                <c:pt idx="0">
                  <c:v>10519.43</c:v>
                </c:pt>
                <c:pt idx="1">
                  <c:v>22594.28</c:v>
                </c:pt>
                <c:pt idx="2">
                  <c:v>22955.13</c:v>
                </c:pt>
                <c:pt idx="3">
                  <c:v>21280.99</c:v>
                </c:pt>
                <c:pt idx="4">
                  <c:v>21038.06</c:v>
                </c:pt>
                <c:pt idx="5">
                  <c:v>21443.49</c:v>
                </c:pt>
                <c:pt idx="6">
                  <c:v>21196.61</c:v>
                </c:pt>
                <c:pt idx="7">
                  <c:v>21041.77</c:v>
                </c:pt>
                <c:pt idx="8">
                  <c:v>21987.3</c:v>
                </c:pt>
                <c:pt idx="9">
                  <c:v>17692.12</c:v>
                </c:pt>
                <c:pt idx="10">
                  <c:v>18699.57</c:v>
                </c:pt>
                <c:pt idx="11">
                  <c:v>19116.63</c:v>
                </c:pt>
                <c:pt idx="12">
                  <c:v>19605.28</c:v>
                </c:pt>
                <c:pt idx="13">
                  <c:v>18216.93</c:v>
                </c:pt>
                <c:pt idx="14">
                  <c:v>20114.18</c:v>
                </c:pt>
                <c:pt idx="15">
                  <c:v>19831.060000000001</c:v>
                </c:pt>
                <c:pt idx="16">
                  <c:v>20653.02</c:v>
                </c:pt>
                <c:pt idx="17">
                  <c:v>20192.830000000002</c:v>
                </c:pt>
                <c:pt idx="18">
                  <c:v>20794.78</c:v>
                </c:pt>
                <c:pt idx="19">
                  <c:v>19203.82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61-4645-BB86-A1CDB8AA6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934944"/>
        <c:axId val="524232608"/>
      </c:scatterChart>
      <c:valAx>
        <c:axId val="523810712"/>
        <c:scaling>
          <c:orientation val="minMax"/>
          <c:max val="2022"/>
          <c:min val="2002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804480"/>
        <c:crosses val="autoZero"/>
        <c:crossBetween val="midCat"/>
        <c:majorUnit val="1"/>
      </c:valAx>
      <c:valAx>
        <c:axId val="52380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Steam Produced (1000s of pounds)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810712"/>
        <c:crosses val="autoZero"/>
        <c:crossBetween val="midCat"/>
      </c:valAx>
      <c:valAx>
        <c:axId val="524232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Wood Consumed (BDT)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934944"/>
        <c:crosses val="max"/>
        <c:crossBetween val="midCat"/>
      </c:valAx>
      <c:valAx>
        <c:axId val="73093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232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Wood Boiler</a:t>
            </a:r>
            <a:r>
              <a:rPr lang="en-US" baseline="0"/>
              <a:t> </a:t>
            </a:r>
            <a:r>
              <a:rPr lang="en-US"/>
              <a:t>Performance Increase from 2002 Baseline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'Wood Boiler Performance'!$F$3:$F$4</c:f>
              <c:strCache>
                <c:ptCount val="2"/>
                <c:pt idx="0">
                  <c:v>Performance Increase</c:v>
                </c:pt>
                <c:pt idx="1">
                  <c:v>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'Wood Boiler Performance'!$B$5:$B$24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xVal>
          <c:yVal>
            <c:numRef>
              <c:f>'Wood Boiler Performance'!$F$5:$F$24</c:f>
              <c:numCache>
                <c:formatCode>0%</c:formatCode>
                <c:ptCount val="20"/>
                <c:pt idx="0">
                  <c:v>0</c:v>
                </c:pt>
                <c:pt idx="1">
                  <c:v>0.43654027139652918</c:v>
                </c:pt>
                <c:pt idx="2">
                  <c:v>0.55562607808660602</c:v>
                </c:pt>
                <c:pt idx="3">
                  <c:v>0.61502345493651078</c:v>
                </c:pt>
                <c:pt idx="4">
                  <c:v>0.60332148681810405</c:v>
                </c:pt>
                <c:pt idx="5">
                  <c:v>0.71473672560204649</c:v>
                </c:pt>
                <c:pt idx="6">
                  <c:v>0.98293588572143542</c:v>
                </c:pt>
                <c:pt idx="7">
                  <c:v>0.80405934097738485</c:v>
                </c:pt>
                <c:pt idx="8">
                  <c:v>0.76072845490110175</c:v>
                </c:pt>
                <c:pt idx="9">
                  <c:v>0.85920929024870074</c:v>
                </c:pt>
                <c:pt idx="10">
                  <c:v>0.86267709605010556</c:v>
                </c:pt>
                <c:pt idx="11">
                  <c:v>0.89626746727893947</c:v>
                </c:pt>
                <c:pt idx="12">
                  <c:v>0.87040302773708089</c:v>
                </c:pt>
                <c:pt idx="13">
                  <c:v>0.90858937090285652</c:v>
                </c:pt>
                <c:pt idx="14">
                  <c:v>0.87973421342142233</c:v>
                </c:pt>
                <c:pt idx="15">
                  <c:v>0.86885209623569937</c:v>
                </c:pt>
                <c:pt idx="16">
                  <c:v>0.87973231019650755</c:v>
                </c:pt>
                <c:pt idx="17">
                  <c:v>0.66306895902695695</c:v>
                </c:pt>
                <c:pt idx="18">
                  <c:v>0.78121142486080886</c:v>
                </c:pt>
                <c:pt idx="19">
                  <c:v>0.86639830395014616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60-45DC-83EC-5E3082E2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939112"/>
        <c:axId val="541943048"/>
      </c:scatterChart>
      <c:valAx>
        <c:axId val="541939112"/>
        <c:scaling>
          <c:orientation val="minMax"/>
          <c:max val="2022"/>
          <c:min val="2003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43048"/>
        <c:crosses val="autoZero"/>
        <c:crossBetween val="midCat"/>
        <c:majorUnit val="1"/>
      </c:valAx>
      <c:valAx>
        <c:axId val="5419430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3911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 Plant Water Make-up Requirements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'Water Usage'!$C$3</c:f>
              <c:strCache>
                <c:ptCount val="1"/>
                <c:pt idx="0">
                  <c:v>Water Usage (gallons)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'Water Usage'!$B$4:$B$23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'Water Usage'!$C$4:$C$23</c:f>
              <c:numCache>
                <c:formatCode>_(* #,##0_);_(* \(#,##0\);_(* "-"??_);_(@_)</c:formatCode>
                <c:ptCount val="20"/>
                <c:pt idx="0">
                  <c:v>3395323</c:v>
                </c:pt>
                <c:pt idx="1">
                  <c:v>3666011</c:v>
                </c:pt>
                <c:pt idx="2">
                  <c:v>4328091</c:v>
                </c:pt>
                <c:pt idx="3">
                  <c:v>4638616</c:v>
                </c:pt>
                <c:pt idx="4">
                  <c:v>2997674</c:v>
                </c:pt>
                <c:pt idx="5">
                  <c:v>3296173</c:v>
                </c:pt>
                <c:pt idx="6">
                  <c:v>3317484</c:v>
                </c:pt>
                <c:pt idx="7">
                  <c:v>2181154</c:v>
                </c:pt>
                <c:pt idx="8">
                  <c:v>1867206</c:v>
                </c:pt>
                <c:pt idx="9">
                  <c:v>1163000</c:v>
                </c:pt>
                <c:pt idx="10">
                  <c:v>1650000</c:v>
                </c:pt>
                <c:pt idx="11">
                  <c:v>1416800</c:v>
                </c:pt>
                <c:pt idx="12">
                  <c:v>1096450</c:v>
                </c:pt>
                <c:pt idx="13">
                  <c:v>1158858</c:v>
                </c:pt>
                <c:pt idx="14">
                  <c:v>1713600</c:v>
                </c:pt>
                <c:pt idx="15">
                  <c:v>1266100</c:v>
                </c:pt>
                <c:pt idx="16">
                  <c:v>796200</c:v>
                </c:pt>
                <c:pt idx="17">
                  <c:v>967200</c:v>
                </c:pt>
                <c:pt idx="18">
                  <c:v>914550</c:v>
                </c:pt>
                <c:pt idx="19">
                  <c:v>1444310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008-92A7-D81825DF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181600"/>
        <c:axId val="622171104"/>
      </c:barChart>
      <c:catAx>
        <c:axId val="62218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71104"/>
        <c:crosses val="autoZero"/>
        <c:auto val="1"/>
        <c:lblAlgn val="ctr"/>
        <c:lblOffset val="100"/>
        <c:noMultiLvlLbl val="1"/>
      </c:catAx>
      <c:valAx>
        <c:axId val="6221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Used (gallons)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8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Electricity Purchased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'Campus Electricity'!$C$3</c:f>
              <c:strCache>
                <c:ptCount val="1"/>
                <c:pt idx="0">
                  <c:v>Electricity Purchased (kWh)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'Campus Electricity'!$B$4:$B$24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'Campus Electricity'!$C$4:$C$24</c:f>
              <c:numCache>
                <c:formatCode>_(* #,##0_);_(* \(#,##0\);_(* "-"??_);_(@_)</c:formatCode>
                <c:ptCount val="21"/>
                <c:pt idx="0">
                  <c:v>63763237</c:v>
                </c:pt>
                <c:pt idx="1">
                  <c:v>63949781</c:v>
                </c:pt>
                <c:pt idx="2">
                  <c:v>64981388</c:v>
                </c:pt>
                <c:pt idx="3">
                  <c:v>63823008</c:v>
                </c:pt>
                <c:pt idx="4">
                  <c:v>63823008</c:v>
                </c:pt>
                <c:pt idx="5">
                  <c:v>63265700</c:v>
                </c:pt>
                <c:pt idx="6">
                  <c:v>62452341</c:v>
                </c:pt>
                <c:pt idx="7">
                  <c:v>58471288</c:v>
                </c:pt>
                <c:pt idx="8">
                  <c:v>54795127</c:v>
                </c:pt>
                <c:pt idx="9">
                  <c:v>51995589</c:v>
                </c:pt>
                <c:pt idx="10">
                  <c:v>50945323</c:v>
                </c:pt>
                <c:pt idx="11">
                  <c:v>50476543</c:v>
                </c:pt>
                <c:pt idx="12">
                  <c:v>50326614</c:v>
                </c:pt>
                <c:pt idx="13">
                  <c:v>49591439</c:v>
                </c:pt>
                <c:pt idx="14">
                  <c:v>49167003</c:v>
                </c:pt>
                <c:pt idx="15">
                  <c:v>48290921</c:v>
                </c:pt>
                <c:pt idx="16">
                  <c:v>47582030</c:v>
                </c:pt>
                <c:pt idx="17">
                  <c:v>47194789.399999999</c:v>
                </c:pt>
                <c:pt idx="18">
                  <c:v>44624933</c:v>
                </c:pt>
                <c:pt idx="19">
                  <c:v>45510345</c:v>
                </c:pt>
                <c:pt idx="20">
                  <c:v>45955893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6-437A-AED9-10F5632B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84920"/>
        <c:axId val="235785576"/>
      </c:barChart>
      <c:catAx>
        <c:axId val="23578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785576"/>
        <c:crosses val="autoZero"/>
        <c:auto val="1"/>
        <c:lblAlgn val="ctr"/>
        <c:lblOffset val="100"/>
        <c:noMultiLvlLbl val="0"/>
      </c:catAx>
      <c:valAx>
        <c:axId val="235785576"/>
        <c:scaling>
          <c:orientation val="minMax"/>
          <c:max val="70000000"/>
          <c:min val="4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784920"/>
        <c:crosses val="autoZero"/>
        <c:crossBetween val="between"/>
        <c:minorUnit val="2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Gas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'Natural Gas'!$C$3</c:f>
              <c:strCache>
                <c:ptCount val="1"/>
                <c:pt idx="0">
                  <c:v>Energy Plant (therms)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'Natural Gas'!$B$4:$B$24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'Natural Gas'!$C$4:$C$24</c:f>
              <c:numCache>
                <c:formatCode>_(* #,##0_);_(* \(#,##0\);_(* "-"??_);_(@_)</c:formatCode>
                <c:ptCount val="21"/>
                <c:pt idx="0">
                  <c:v>528286</c:v>
                </c:pt>
                <c:pt idx="1">
                  <c:v>175344</c:v>
                </c:pt>
                <c:pt idx="2">
                  <c:v>211237</c:v>
                </c:pt>
                <c:pt idx="3">
                  <c:v>342693</c:v>
                </c:pt>
                <c:pt idx="4">
                  <c:v>312595</c:v>
                </c:pt>
                <c:pt idx="5">
                  <c:v>420227</c:v>
                </c:pt>
                <c:pt idx="6">
                  <c:v>577858</c:v>
                </c:pt>
                <c:pt idx="7">
                  <c:v>553744</c:v>
                </c:pt>
                <c:pt idx="8">
                  <c:v>281907</c:v>
                </c:pt>
                <c:pt idx="9">
                  <c:v>200975</c:v>
                </c:pt>
                <c:pt idx="10">
                  <c:v>313071</c:v>
                </c:pt>
                <c:pt idx="11">
                  <c:v>251893</c:v>
                </c:pt>
                <c:pt idx="12">
                  <c:v>327902</c:v>
                </c:pt>
                <c:pt idx="13">
                  <c:v>181481</c:v>
                </c:pt>
                <c:pt idx="14">
                  <c:v>230620</c:v>
                </c:pt>
                <c:pt idx="15">
                  <c:v>277708</c:v>
                </c:pt>
                <c:pt idx="16">
                  <c:v>184346</c:v>
                </c:pt>
                <c:pt idx="17">
                  <c:v>312158</c:v>
                </c:pt>
                <c:pt idx="18">
                  <c:v>197957</c:v>
                </c:pt>
                <c:pt idx="19">
                  <c:v>78088</c:v>
                </c:pt>
                <c:pt idx="20">
                  <c:v>427801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D-4D92-A948-53BDE57049EE}"/>
            </c:ext>
          </c:extLst>
        </c:ser>
        <c:ser>
          <c:idx val="0"/>
          <c:order val="1"/>
          <c:tx>
            <c:strRef>
              <c:f>'Natural Gas'!$D$3</c:f>
              <c:strCache>
                <c:ptCount val="1"/>
                <c:pt idx="0">
                  <c:v>Campus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'Natural Gas'!$B$4:$B$24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'Natural Gas'!$D$4:$D$24</c:f>
              <c:numCache>
                <c:formatCode>_(* #,##0_);_(* \(#,##0\);_(* "-"??_);_(@_)</c:formatCode>
                <c:ptCount val="21"/>
                <c:pt idx="0">
                  <c:v>373907</c:v>
                </c:pt>
                <c:pt idx="1">
                  <c:v>340487</c:v>
                </c:pt>
                <c:pt idx="2">
                  <c:v>326182</c:v>
                </c:pt>
                <c:pt idx="3">
                  <c:v>294314</c:v>
                </c:pt>
                <c:pt idx="4">
                  <c:v>328612</c:v>
                </c:pt>
                <c:pt idx="5">
                  <c:v>313724</c:v>
                </c:pt>
                <c:pt idx="6">
                  <c:v>358113</c:v>
                </c:pt>
                <c:pt idx="7">
                  <c:v>349327</c:v>
                </c:pt>
                <c:pt idx="8">
                  <c:v>112580</c:v>
                </c:pt>
                <c:pt idx="9">
                  <c:v>155177.5</c:v>
                </c:pt>
                <c:pt idx="10">
                  <c:v>148612</c:v>
                </c:pt>
                <c:pt idx="11">
                  <c:v>122090.5</c:v>
                </c:pt>
                <c:pt idx="12">
                  <c:v>111593.5</c:v>
                </c:pt>
                <c:pt idx="13">
                  <c:v>104510</c:v>
                </c:pt>
                <c:pt idx="14">
                  <c:v>139023.5</c:v>
                </c:pt>
                <c:pt idx="15">
                  <c:v>141656.28699999992</c:v>
                </c:pt>
                <c:pt idx="16">
                  <c:v>151077.53025000001</c:v>
                </c:pt>
                <c:pt idx="17">
                  <c:v>142409.48999999996</c:v>
                </c:pt>
                <c:pt idx="18">
                  <c:v>138669.11199999996</c:v>
                </c:pt>
                <c:pt idx="19">
                  <c:v>141505.27100000004</c:v>
                </c:pt>
                <c:pt idx="20">
                  <c:v>154074.45199999996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D-4D92-A948-53BDE57049EE}"/>
            </c:ext>
          </c:extLst>
        </c:ser>
        <c:ser>
          <c:idx val="2"/>
          <c:order val="2"/>
          <c:tx>
            <c:strRef>
              <c:f>'Natural Gas'!$E$3</c:f>
              <c:strCache>
                <c:ptCount val="1"/>
                <c:pt idx="0">
                  <c:v>Auxilliary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'Natural Gas'!$B$4:$B$24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'Natural Gas'!$E$4:$E$24</c:f>
              <c:numCache>
                <c:formatCode>_(* #,##0_);_(* \(#,##0\);_(* "-"??_);_(@_)</c:formatCode>
                <c:ptCount val="21"/>
                <c:pt idx="8">
                  <c:v>177478</c:v>
                </c:pt>
                <c:pt idx="9">
                  <c:v>171646</c:v>
                </c:pt>
                <c:pt idx="10">
                  <c:v>159900</c:v>
                </c:pt>
                <c:pt idx="11">
                  <c:v>154050</c:v>
                </c:pt>
                <c:pt idx="12">
                  <c:v>189042</c:v>
                </c:pt>
                <c:pt idx="13">
                  <c:v>203606</c:v>
                </c:pt>
                <c:pt idx="14">
                  <c:v>108199.5</c:v>
                </c:pt>
                <c:pt idx="15">
                  <c:v>123226.04</c:v>
                </c:pt>
                <c:pt idx="16">
                  <c:v>140477.14000000001</c:v>
                </c:pt>
                <c:pt idx="17">
                  <c:v>126820.10999999999</c:v>
                </c:pt>
                <c:pt idx="18">
                  <c:v>123030.79000000001</c:v>
                </c:pt>
                <c:pt idx="19">
                  <c:v>140760.44999999998</c:v>
                </c:pt>
                <c:pt idx="20">
                  <c:v>73985.429999999993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D-4D92-A948-53BDE570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71406952"/>
        <c:axId val="671405312"/>
      </c:barChart>
      <c:catAx>
        <c:axId val="67140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405312"/>
        <c:crosses val="autoZero"/>
        <c:auto val="1"/>
        <c:lblAlgn val="ctr"/>
        <c:lblOffset val="100"/>
        <c:noMultiLvlLbl val="0"/>
      </c:catAx>
      <c:valAx>
        <c:axId val="6714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406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'Water Usage'!$C$26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'Water Usage'!$B$27:$B$46</c15:sqref>
                  </c15:fullRef>
                </c:ext>
              </c:extLst>
              <c:f>('Water Usage'!$B$27:$B$44,'Water Usage'!$B$46)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Usage'!$C$27:$C$46</c15:sqref>
                  </c15:fullRef>
                </c:ext>
              </c:extLst>
              <c:f>('Water Usage'!$C$27:$C$44,'Water Usage'!$C$46)</c:f>
              <c:numCache>
                <c:formatCode>_(* #,##0_);_(* \(#,##0\);_(* "-"??_);_(@_)</c:formatCode>
                <c:ptCount val="19"/>
                <c:pt idx="0">
                  <c:v>216805947</c:v>
                </c:pt>
                <c:pt idx="1">
                  <c:v>250131038</c:v>
                </c:pt>
                <c:pt idx="2">
                  <c:v>205594408</c:v>
                </c:pt>
                <c:pt idx="3">
                  <c:v>234628186</c:v>
                </c:pt>
                <c:pt idx="4">
                  <c:v>207361371</c:v>
                </c:pt>
                <c:pt idx="5">
                  <c:v>182607078</c:v>
                </c:pt>
                <c:pt idx="6">
                  <c:v>165236363</c:v>
                </c:pt>
                <c:pt idx="7">
                  <c:v>173699054</c:v>
                </c:pt>
                <c:pt idx="8">
                  <c:v>160087123</c:v>
                </c:pt>
                <c:pt idx="9">
                  <c:v>170156275</c:v>
                </c:pt>
                <c:pt idx="10">
                  <c:v>153917302</c:v>
                </c:pt>
                <c:pt idx="11">
                  <c:v>157626626</c:v>
                </c:pt>
                <c:pt idx="12">
                  <c:v>151186159</c:v>
                </c:pt>
                <c:pt idx="13">
                  <c:v>133997884</c:v>
                </c:pt>
                <c:pt idx="14">
                  <c:v>147172095</c:v>
                </c:pt>
                <c:pt idx="15">
                  <c:v>130848248</c:v>
                </c:pt>
                <c:pt idx="16">
                  <c:v>137156045</c:v>
                </c:pt>
                <c:pt idx="17">
                  <c:v>140636734</c:v>
                </c:pt>
                <c:pt idx="18">
                  <c:v>127271411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B-4F6C-9A9B-2BC4497EEB64}"/>
            </c:ext>
          </c:extLst>
        </c:ser>
        <c:ser>
          <c:idx val="1"/>
          <c:order val="1"/>
          <c:tx>
            <c:strRef>
              <c:f>'Water Usage'!$D$26</c:f>
              <c:strCache>
                <c:ptCount val="1"/>
                <c:pt idx="0">
                  <c:v>Aquaculture</c:v>
                </c:pt>
              </c:strCache>
            </c:strRef>
          </c:tx>
          <c:spPr>
            <a:solidFill>
              <a:srgbClr val="F1B300"/>
            </a:solidFill>
            <a:ln>
              <a:solidFill>
                <a:schemeClr val="tx1"/>
              </a:solidFill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'Water Usage'!$B$27:$B$46</c15:sqref>
                  </c15:fullRef>
                </c:ext>
              </c:extLst>
              <c:f>('Water Usage'!$B$27:$B$44,'Water Usage'!$B$46)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Usage'!$D$27:$D$45</c15:sqref>
                  </c15:fullRef>
                </c:ext>
              </c:extLst>
              <c:f>'Water Usage'!$D$27:$D$44</c:f>
              <c:numCache>
                <c:formatCode>_(* #,##0_);_(* \(#,##0\);_(* "-"??_);_(@_)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13080450</c:v>
                </c:pt>
                <c:pt idx="4">
                  <c:v>12151260</c:v>
                </c:pt>
                <c:pt idx="5">
                  <c:v>10055700</c:v>
                </c:pt>
                <c:pt idx="6">
                  <c:v>8246500</c:v>
                </c:pt>
                <c:pt idx="7">
                  <c:v>6651660</c:v>
                </c:pt>
                <c:pt idx="8">
                  <c:v>4958580</c:v>
                </c:pt>
                <c:pt idx="9">
                  <c:v>4356230</c:v>
                </c:pt>
                <c:pt idx="10">
                  <c:v>4052520</c:v>
                </c:pt>
                <c:pt idx="11">
                  <c:v>4899300</c:v>
                </c:pt>
                <c:pt idx="12">
                  <c:v>4096770</c:v>
                </c:pt>
                <c:pt idx="13">
                  <c:v>3748870</c:v>
                </c:pt>
                <c:pt idx="14">
                  <c:v>3196470</c:v>
                </c:pt>
                <c:pt idx="15">
                  <c:v>8181130</c:v>
                </c:pt>
                <c:pt idx="16">
                  <c:v>1959550</c:v>
                </c:pt>
                <c:pt idx="17">
                  <c:v>2983280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B-4F6C-9A9B-2BC4497EEB64}"/>
            </c:ext>
          </c:extLst>
        </c:ser>
        <c:ser>
          <c:idx val="2"/>
          <c:order val="2"/>
          <c:tx>
            <c:strRef>
              <c:f>'Water Usage'!$E$26</c:f>
              <c:strCache>
                <c:ptCount val="1"/>
                <c:pt idx="0">
                  <c:v>Reclaimed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'Water Usage'!$B$27:$B$46</c15:sqref>
                  </c15:fullRef>
                </c:ext>
              </c:extLst>
              <c:f>('Water Usage'!$B$27:$B$44,'Water Usage'!$B$46)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Usage'!$E$27:$E$46</c15:sqref>
                  </c15:fullRef>
                </c:ext>
              </c:extLst>
              <c:f>('Water Usage'!$E$27:$E$44,'Water Usage'!$E$46)</c:f>
              <c:numCache>
                <c:formatCode>_(* #,##0_);_(* \(#,##0\);_(* "-"??_);_(@_)</c:formatCode>
                <c:ptCount val="19"/>
                <c:pt idx="0">
                  <c:v>81136308</c:v>
                </c:pt>
                <c:pt idx="1">
                  <c:v>104871706</c:v>
                </c:pt>
                <c:pt idx="2">
                  <c:v>87534460</c:v>
                </c:pt>
                <c:pt idx="3">
                  <c:v>81805472</c:v>
                </c:pt>
                <c:pt idx="4">
                  <c:v>96118308</c:v>
                </c:pt>
                <c:pt idx="5">
                  <c:v>93740811</c:v>
                </c:pt>
                <c:pt idx="6">
                  <c:v>86976219</c:v>
                </c:pt>
                <c:pt idx="7">
                  <c:v>78855666</c:v>
                </c:pt>
                <c:pt idx="8">
                  <c:v>68143258</c:v>
                </c:pt>
                <c:pt idx="9">
                  <c:v>78407319</c:v>
                </c:pt>
                <c:pt idx="10">
                  <c:v>83229676</c:v>
                </c:pt>
                <c:pt idx="11">
                  <c:v>86020170</c:v>
                </c:pt>
                <c:pt idx="12">
                  <c:v>86931604</c:v>
                </c:pt>
                <c:pt idx="13">
                  <c:v>102520465</c:v>
                </c:pt>
                <c:pt idx="14">
                  <c:v>86989081</c:v>
                </c:pt>
                <c:pt idx="15">
                  <c:v>88261496</c:v>
                </c:pt>
                <c:pt idx="16">
                  <c:v>94384000</c:v>
                </c:pt>
                <c:pt idx="17">
                  <c:v>80684287</c:v>
                </c:pt>
                <c:pt idx="18">
                  <c:v>104222915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B-4F6C-9A9B-2BC4497E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17032"/>
        <c:axId val="597337040"/>
      </c:areaChart>
      <c:catAx>
        <c:axId val="597317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37040"/>
        <c:crosses val="autoZero"/>
        <c:auto val="1"/>
        <c:lblAlgn val="ctr"/>
        <c:lblOffset val="100"/>
        <c:noMultiLvlLbl val="0"/>
      </c:catAx>
      <c:valAx>
        <c:axId val="59733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17032"/>
        <c:crosses val="autoZero"/>
        <c:crossBetween val="midCat"/>
        <c:minorUnit val="25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50875786084716"/>
          <c:y val="0.14351005438193692"/>
          <c:w val="0.11073384408030078"/>
          <c:h val="0.12307135219208708"/>
        </c:manualLayout>
      </c:layout>
      <c:overlay val="0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 Between Fuel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'Wood Boiler Performance'!$L$3</c:f>
              <c:strCache>
                <c:ptCount val="1"/>
                <c:pt idx="0">
                  <c:v>Avg Wood Cost ($/1000 lb)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'Wood Boiler Performance'!$B$6:$B$24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xVal>
          <c:yVal>
            <c:numRef>
              <c:f>'Wood Boiler Performance'!$L$6:$L$24</c:f>
              <c:numCache>
                <c:formatCode>_("$"* #,##0.00_);_("$"* \(#,##0.00\);_("$"* "-"??_);_(@_)</c:formatCode>
                <c:ptCount val="19"/>
                <c:pt idx="0">
                  <c:v>3.04</c:v>
                </c:pt>
                <c:pt idx="1">
                  <c:v>2.82</c:v>
                </c:pt>
                <c:pt idx="2">
                  <c:v>2.71</c:v>
                </c:pt>
                <c:pt idx="3">
                  <c:v>2.73</c:v>
                </c:pt>
                <c:pt idx="4">
                  <c:v>3.09</c:v>
                </c:pt>
                <c:pt idx="5">
                  <c:v>4.17</c:v>
                </c:pt>
                <c:pt idx="6">
                  <c:v>4.83</c:v>
                </c:pt>
                <c:pt idx="7">
                  <c:v>4.83</c:v>
                </c:pt>
                <c:pt idx="8">
                  <c:v>4.62</c:v>
                </c:pt>
                <c:pt idx="9">
                  <c:v>4.28</c:v>
                </c:pt>
                <c:pt idx="10">
                  <c:v>3.85</c:v>
                </c:pt>
                <c:pt idx="11">
                  <c:v>3.91</c:v>
                </c:pt>
                <c:pt idx="12">
                  <c:v>3.82</c:v>
                </c:pt>
                <c:pt idx="13">
                  <c:v>3.89</c:v>
                </c:pt>
                <c:pt idx="14">
                  <c:v>3.91</c:v>
                </c:pt>
                <c:pt idx="15">
                  <c:v>3.89</c:v>
                </c:pt>
                <c:pt idx="16">
                  <c:v>4.3899999999999997</c:v>
                </c:pt>
                <c:pt idx="17">
                  <c:v>4.0999999999999996</c:v>
                </c:pt>
                <c:pt idx="18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AD-44D9-917E-F6FAA1B063CB}"/>
            </c:ext>
          </c:extLst>
        </c:ser>
        <c:ser>
          <c:idx val="1"/>
          <c:order val="1"/>
          <c:tx>
            <c:strRef>
              <c:f>'Wood Boiler Performance'!$M$3</c:f>
              <c:strCache>
                <c:ptCount val="1"/>
                <c:pt idx="0">
                  <c:v>Avg Gas Cost ($/1000 lb)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B300"/>
              </a:solidFill>
              <a:ln w="9525">
                <a:solidFill>
                  <a:srgbClr val="F1B300"/>
                </a:solidFill>
              </a:ln>
              <a:effectLst/>
            </c:spPr>
          </c:marker>
          <c:xVal>
            <c:numRef>
              <c:f>'Wood Boiler Performance'!$B$6:$B$24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xVal>
          <c:yVal>
            <c:numRef>
              <c:f>'Wood Boiler Performance'!$M$6:$M$24</c:f>
              <c:numCache>
                <c:formatCode>_("$"* #,##0.00_);_("$"* \(#,##0.00\);_("$"* "-"??_);_(@_)</c:formatCode>
                <c:ptCount val="19"/>
                <c:pt idx="0">
                  <c:v>9.66</c:v>
                </c:pt>
                <c:pt idx="1">
                  <c:v>9.5500000000000007</c:v>
                </c:pt>
                <c:pt idx="2">
                  <c:v>11.84</c:v>
                </c:pt>
                <c:pt idx="3">
                  <c:v>11.85</c:v>
                </c:pt>
                <c:pt idx="4">
                  <c:v>12.76</c:v>
                </c:pt>
                <c:pt idx="5">
                  <c:v>12.78</c:v>
                </c:pt>
                <c:pt idx="6">
                  <c:v>8.25</c:v>
                </c:pt>
                <c:pt idx="7">
                  <c:v>7.65</c:v>
                </c:pt>
                <c:pt idx="8">
                  <c:v>7.55</c:v>
                </c:pt>
                <c:pt idx="9">
                  <c:v>8.11</c:v>
                </c:pt>
                <c:pt idx="10">
                  <c:v>7.84</c:v>
                </c:pt>
                <c:pt idx="11">
                  <c:v>7.98</c:v>
                </c:pt>
                <c:pt idx="12">
                  <c:v>7.92</c:v>
                </c:pt>
                <c:pt idx="13">
                  <c:v>8.02</c:v>
                </c:pt>
                <c:pt idx="14">
                  <c:v>7.95</c:v>
                </c:pt>
                <c:pt idx="15">
                  <c:v>7.96</c:v>
                </c:pt>
                <c:pt idx="16">
                  <c:v>8.0399999999999991</c:v>
                </c:pt>
                <c:pt idx="17">
                  <c:v>7.57</c:v>
                </c:pt>
                <c:pt idx="18">
                  <c:v>10.62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AD-44D9-917E-F6FAA1B06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77648"/>
        <c:axId val="378075680"/>
      </c:scatterChart>
      <c:valAx>
        <c:axId val="378077648"/>
        <c:scaling>
          <c:orientation val="minMax"/>
          <c:max val="2022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5680"/>
        <c:crosses val="autoZero"/>
        <c:crossBetween val="midCat"/>
        <c:majorUnit val="1"/>
      </c:valAx>
      <c:valAx>
        <c:axId val="37807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($/1000 lb steam)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76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13</xdr:col>
      <xdr:colOff>533400</xdr:colOff>
      <xdr:row>43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27</xdr:col>
      <xdr:colOff>533400</xdr:colOff>
      <xdr:row>43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533400</xdr:colOff>
      <xdr:row>65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533400</xdr:colOff>
      <xdr:row>87</xdr:row>
      <xdr:rowOff>114300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13</xdr:col>
      <xdr:colOff>533400</xdr:colOff>
      <xdr:row>109</xdr:row>
      <xdr:rowOff>114300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13</xdr:col>
      <xdr:colOff>533400</xdr:colOff>
      <xdr:row>130</xdr:row>
      <xdr:rowOff>114300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27</xdr:col>
      <xdr:colOff>533400</xdr:colOff>
      <xdr:row>21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98BE590-943A-4B9E-B1F0-31C6F6247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zoomScale="130" zoomScaleNormal="130" workbookViewId="0">
      <selection activeCell="AF14" sqref="AF14"/>
    </sheetView>
  </sheetViews>
  <sheetFormatPr defaultRowHeight="15" x14ac:dyDescent="0.25"/>
  <sheetData/>
  <pageMargins left="0.7" right="0.7" top="0.75" bottom="0.75" header="0.3" footer="0.3"/>
  <pageSetup scale="35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9"/>
  <sheetViews>
    <sheetView zoomScaleNormal="100" workbookViewId="0">
      <selection activeCell="D8" sqref="D8"/>
    </sheetView>
  </sheetViews>
  <sheetFormatPr defaultRowHeight="15" x14ac:dyDescent="0.25"/>
  <cols>
    <col min="3" max="3" width="17.28515625" customWidth="1"/>
    <col min="4" max="4" width="17.140625" customWidth="1"/>
    <col min="5" max="5" width="17.42578125" customWidth="1"/>
    <col min="6" max="6" width="12.85546875" customWidth="1"/>
    <col min="7" max="7" width="11.5703125" bestFit="1" customWidth="1"/>
    <col min="8" max="8" width="12.7109375" bestFit="1" customWidth="1"/>
    <col min="9" max="9" width="13.7109375" customWidth="1"/>
  </cols>
  <sheetData>
    <row r="2" spans="2:8" ht="18.75" x14ac:dyDescent="0.3">
      <c r="B2" s="8" t="s">
        <v>0</v>
      </c>
    </row>
    <row r="3" spans="2:8" ht="30" customHeight="1" x14ac:dyDescent="0.25">
      <c r="C3" s="31" t="s">
        <v>1</v>
      </c>
      <c r="D3" s="31"/>
      <c r="E3" s="31"/>
      <c r="F3" s="31" t="s">
        <v>2</v>
      </c>
      <c r="G3" s="31"/>
      <c r="H3" s="31"/>
    </row>
    <row r="4" spans="2:8" ht="18" x14ac:dyDescent="0.25">
      <c r="C4" s="25" t="s">
        <v>3</v>
      </c>
      <c r="D4" s="9" t="s">
        <v>4</v>
      </c>
      <c r="E4" s="25" t="s">
        <v>5</v>
      </c>
      <c r="F4" s="25" t="s">
        <v>3</v>
      </c>
      <c r="G4" s="9" t="s">
        <v>4</v>
      </c>
      <c r="H4" s="25" t="s">
        <v>5</v>
      </c>
    </row>
    <row r="5" spans="2:8" x14ac:dyDescent="0.25">
      <c r="B5" s="25">
        <v>2002</v>
      </c>
      <c r="C5" s="1">
        <v>35.39</v>
      </c>
      <c r="D5" s="1">
        <v>76.84</v>
      </c>
      <c r="E5" s="1">
        <v>33.57</v>
      </c>
      <c r="F5" s="3">
        <v>0</v>
      </c>
      <c r="G5" s="3">
        <v>0</v>
      </c>
      <c r="H5" s="3">
        <v>0</v>
      </c>
    </row>
    <row r="6" spans="2:8" x14ac:dyDescent="0.25">
      <c r="B6" s="25">
        <v>2003</v>
      </c>
      <c r="C6" s="1">
        <v>30.13</v>
      </c>
      <c r="D6" s="1">
        <v>65.41</v>
      </c>
      <c r="E6" s="1">
        <v>28.57</v>
      </c>
      <c r="F6" s="3">
        <f t="shared" ref="F6:F23" si="0">1-C6/$C$5</f>
        <v>0.14862955637185649</v>
      </c>
      <c r="G6" s="3">
        <f>1-D6/$D$5</f>
        <v>0.14875065070275906</v>
      </c>
      <c r="H6" s="3">
        <f>1-E6/$E$5</f>
        <v>0.14894250819183796</v>
      </c>
    </row>
    <row r="7" spans="2:8" x14ac:dyDescent="0.25">
      <c r="B7" s="25">
        <v>2004</v>
      </c>
      <c r="C7" s="1">
        <v>27.29</v>
      </c>
      <c r="D7" s="1">
        <v>59.24</v>
      </c>
      <c r="E7" s="1">
        <v>25.87</v>
      </c>
      <c r="F7" s="3">
        <f t="shared" si="0"/>
        <v>0.22887821418479803</v>
      </c>
      <c r="G7" s="3">
        <f t="shared" ref="G7:G23" si="1">1-D7/$D$5</f>
        <v>0.22904737116085372</v>
      </c>
      <c r="H7" s="3">
        <f t="shared" ref="H7:H23" si="2">1-E7/$E$5</f>
        <v>0.2293714626154304</v>
      </c>
    </row>
    <row r="8" spans="2:8" x14ac:dyDescent="0.25">
      <c r="B8" s="25">
        <v>2005</v>
      </c>
      <c r="C8" s="1">
        <v>29.82</v>
      </c>
      <c r="D8" s="1">
        <v>64.75</v>
      </c>
      <c r="E8" s="1">
        <v>28.28</v>
      </c>
      <c r="F8" s="3">
        <f t="shared" si="0"/>
        <v>0.15738909296411419</v>
      </c>
      <c r="G8" s="3">
        <f t="shared" si="1"/>
        <v>0.15733992712129108</v>
      </c>
      <c r="H8" s="3">
        <f t="shared" si="2"/>
        <v>0.15758117366696456</v>
      </c>
    </row>
    <row r="9" spans="2:8" x14ac:dyDescent="0.25">
      <c r="B9" s="25">
        <v>2006</v>
      </c>
      <c r="C9" s="1">
        <v>26.95</v>
      </c>
      <c r="D9" s="1">
        <v>58.51</v>
      </c>
      <c r="E9" s="1">
        <v>25.05</v>
      </c>
      <c r="F9" s="3">
        <f t="shared" si="0"/>
        <v>0.23848544786662906</v>
      </c>
      <c r="G9" s="3">
        <f t="shared" si="1"/>
        <v>0.23854763144195734</v>
      </c>
      <c r="H9" s="3">
        <f t="shared" si="2"/>
        <v>0.25379803395889189</v>
      </c>
    </row>
    <row r="10" spans="2:8" x14ac:dyDescent="0.25">
      <c r="B10" s="25">
        <v>2007</v>
      </c>
      <c r="C10" s="1">
        <v>30.45</v>
      </c>
      <c r="D10" s="1">
        <v>66.11</v>
      </c>
      <c r="E10" s="1">
        <v>28.87</v>
      </c>
      <c r="F10" s="3">
        <f t="shared" si="0"/>
        <v>0.13958745408307438</v>
      </c>
      <c r="G10" s="3">
        <f t="shared" si="1"/>
        <v>0.13964081207704326</v>
      </c>
      <c r="H10" s="3">
        <f t="shared" si="2"/>
        <v>0.14000595770032764</v>
      </c>
    </row>
    <row r="11" spans="2:8" x14ac:dyDescent="0.25">
      <c r="B11" s="25">
        <v>2008</v>
      </c>
      <c r="C11" s="1">
        <v>28.16</v>
      </c>
      <c r="D11" s="1">
        <v>54.36</v>
      </c>
      <c r="E11" s="1">
        <v>36.61</v>
      </c>
      <c r="F11" s="3">
        <f t="shared" si="0"/>
        <v>0.20429499858717148</v>
      </c>
      <c r="G11" s="3">
        <f t="shared" si="1"/>
        <v>0.29255596043727228</v>
      </c>
      <c r="H11" s="3">
        <f t="shared" si="2"/>
        <v>-9.0557044980637436E-2</v>
      </c>
    </row>
    <row r="12" spans="2:8" x14ac:dyDescent="0.25">
      <c r="B12" s="25">
        <v>2009</v>
      </c>
      <c r="C12" s="1">
        <v>17.309999999999999</v>
      </c>
      <c r="D12" s="1">
        <v>13.55</v>
      </c>
      <c r="E12" s="1">
        <v>20.47</v>
      </c>
      <c r="F12" s="3">
        <f t="shared" si="0"/>
        <v>0.51087877931619108</v>
      </c>
      <c r="G12" s="3">
        <f t="shared" si="1"/>
        <v>0.82365955231650179</v>
      </c>
      <c r="H12" s="3">
        <f t="shared" si="2"/>
        <v>0.39022937146261549</v>
      </c>
    </row>
    <row r="13" spans="2:8" x14ac:dyDescent="0.25">
      <c r="B13" s="25">
        <v>2010</v>
      </c>
      <c r="C13" s="1">
        <v>16.170000000000002</v>
      </c>
      <c r="D13" s="1">
        <v>12.66</v>
      </c>
      <c r="E13" s="1">
        <v>15.64</v>
      </c>
      <c r="F13" s="3">
        <f t="shared" si="0"/>
        <v>0.54309126871997737</v>
      </c>
      <c r="G13" s="3">
        <f t="shared" si="1"/>
        <v>0.8352420614263405</v>
      </c>
      <c r="H13" s="3">
        <f t="shared" si="2"/>
        <v>0.5341078343759309</v>
      </c>
    </row>
    <row r="14" spans="2:8" x14ac:dyDescent="0.25">
      <c r="B14" s="25">
        <v>2011</v>
      </c>
      <c r="C14" s="1">
        <v>15.49</v>
      </c>
      <c r="D14" s="1">
        <v>12.13</v>
      </c>
      <c r="E14" s="1">
        <v>38.520000000000003</v>
      </c>
      <c r="F14" s="3">
        <f t="shared" si="0"/>
        <v>0.56230573608363943</v>
      </c>
      <c r="G14" s="3">
        <f t="shared" si="1"/>
        <v>0.84213951067152526</v>
      </c>
      <c r="H14" s="3">
        <f t="shared" si="2"/>
        <v>-0.14745308310991967</v>
      </c>
    </row>
    <row r="15" spans="2:8" x14ac:dyDescent="0.25">
      <c r="B15" s="25">
        <v>2012</v>
      </c>
      <c r="C15" s="1">
        <v>14.83</v>
      </c>
      <c r="D15" s="1">
        <v>11.61</v>
      </c>
      <c r="E15" s="1">
        <v>37.29</v>
      </c>
      <c r="F15" s="3">
        <f t="shared" si="0"/>
        <v>0.58095507205425267</v>
      </c>
      <c r="G15" s="3">
        <f t="shared" si="1"/>
        <v>0.84890681936491408</v>
      </c>
      <c r="H15" s="3">
        <f t="shared" si="2"/>
        <v>-0.11081322609472744</v>
      </c>
    </row>
    <row r="16" spans="2:8" x14ac:dyDescent="0.25">
      <c r="B16" s="25">
        <v>2013</v>
      </c>
      <c r="C16" s="1">
        <v>15.48</v>
      </c>
      <c r="D16" s="1">
        <v>12.11</v>
      </c>
      <c r="E16" s="1">
        <v>37.47</v>
      </c>
      <c r="F16" s="3">
        <f t="shared" si="0"/>
        <v>0.56258830178016384</v>
      </c>
      <c r="G16" s="3">
        <f t="shared" si="1"/>
        <v>0.84239979177511715</v>
      </c>
      <c r="H16" s="3">
        <f t="shared" si="2"/>
        <v>-0.1161751563896336</v>
      </c>
    </row>
    <row r="17" spans="2:8" x14ac:dyDescent="0.25">
      <c r="B17" s="25">
        <v>2014</v>
      </c>
      <c r="C17" s="1">
        <v>15.31</v>
      </c>
      <c r="D17" s="1">
        <v>11.98</v>
      </c>
      <c r="E17" s="1">
        <v>37.369999999999997</v>
      </c>
      <c r="F17" s="3">
        <f t="shared" si="0"/>
        <v>0.56739191862107941</v>
      </c>
      <c r="G17" s="3">
        <f t="shared" si="1"/>
        <v>0.84409161894846441</v>
      </c>
      <c r="H17" s="3">
        <f t="shared" si="2"/>
        <v>-0.11319630622579679</v>
      </c>
    </row>
    <row r="18" spans="2:8" x14ac:dyDescent="0.25">
      <c r="B18" s="25">
        <v>2015</v>
      </c>
      <c r="C18" s="1">
        <v>14.86</v>
      </c>
      <c r="D18" s="1">
        <v>11.63</v>
      </c>
      <c r="E18" s="1">
        <v>36.799999999999997</v>
      </c>
      <c r="F18" s="3">
        <f t="shared" si="0"/>
        <v>0.58010737496467923</v>
      </c>
      <c r="G18" s="3">
        <f t="shared" si="1"/>
        <v>0.84864653826132219</v>
      </c>
      <c r="H18" s="3">
        <f t="shared" si="2"/>
        <v>-9.6216860291927331E-2</v>
      </c>
    </row>
    <row r="19" spans="2:8" x14ac:dyDescent="0.25">
      <c r="B19" s="25">
        <v>2016</v>
      </c>
      <c r="C19" s="1">
        <v>15.75</v>
      </c>
      <c r="D19" s="1">
        <v>12.33</v>
      </c>
      <c r="E19" s="1">
        <v>32.520000000000003</v>
      </c>
      <c r="F19" s="3">
        <f t="shared" si="0"/>
        <v>0.55495902797400398</v>
      </c>
      <c r="G19" s="3">
        <f t="shared" si="1"/>
        <v>0.8395366996356064</v>
      </c>
      <c r="H19" s="3">
        <f t="shared" si="2"/>
        <v>3.1277926720285842E-2</v>
      </c>
    </row>
    <row r="20" spans="2:8" x14ac:dyDescent="0.25">
      <c r="B20" s="25">
        <v>2017</v>
      </c>
      <c r="C20" s="1">
        <v>14.34</v>
      </c>
      <c r="D20" s="1">
        <v>11.23</v>
      </c>
      <c r="E20" s="1">
        <v>29.61</v>
      </c>
      <c r="F20" s="3">
        <f t="shared" si="0"/>
        <v>0.59480079118395035</v>
      </c>
      <c r="G20" s="3">
        <f t="shared" si="1"/>
        <v>0.8538521603331598</v>
      </c>
      <c r="H20" s="3">
        <f t="shared" si="2"/>
        <v>0.11796246648793574</v>
      </c>
    </row>
    <row r="21" spans="2:8" x14ac:dyDescent="0.25">
      <c r="B21" s="25">
        <v>2018</v>
      </c>
      <c r="C21" s="1">
        <v>14.3</v>
      </c>
      <c r="D21" s="1">
        <v>11.2</v>
      </c>
      <c r="E21" s="1">
        <v>29.53</v>
      </c>
      <c r="F21" s="3">
        <f t="shared" si="0"/>
        <v>0.59593105397004797</v>
      </c>
      <c r="G21" s="3">
        <f t="shared" si="1"/>
        <v>0.85424258198854763</v>
      </c>
      <c r="H21" s="3">
        <f t="shared" si="2"/>
        <v>0.12034554661900498</v>
      </c>
    </row>
    <row r="22" spans="2:8" x14ac:dyDescent="0.25">
      <c r="B22" s="25">
        <v>2019</v>
      </c>
      <c r="C22" s="1">
        <v>14.9</v>
      </c>
      <c r="D22" s="1">
        <v>11.67</v>
      </c>
      <c r="E22" s="1">
        <v>30.77</v>
      </c>
      <c r="F22" s="3">
        <f t="shared" si="0"/>
        <v>0.5789771121785815</v>
      </c>
      <c r="G22" s="3">
        <f t="shared" si="1"/>
        <v>0.84812597605413842</v>
      </c>
      <c r="H22" s="3">
        <f t="shared" si="2"/>
        <v>8.3407804587429246E-2</v>
      </c>
    </row>
    <row r="23" spans="2:8" x14ac:dyDescent="0.25">
      <c r="B23" s="25">
        <v>2020</v>
      </c>
      <c r="C23" s="1">
        <v>12.89</v>
      </c>
      <c r="D23" s="1">
        <v>10.09</v>
      </c>
      <c r="E23" s="1">
        <v>26.62</v>
      </c>
      <c r="F23" s="3">
        <f t="shared" si="0"/>
        <v>0.63577281717999434</v>
      </c>
      <c r="G23" s="3">
        <f t="shared" si="1"/>
        <v>0.86868818323789698</v>
      </c>
      <c r="H23" s="3">
        <f t="shared" si="2"/>
        <v>0.20703008638665477</v>
      </c>
    </row>
    <row r="46" spans="3:8" x14ac:dyDescent="0.25">
      <c r="C46" s="1"/>
      <c r="D46" s="1"/>
      <c r="E46" s="1"/>
      <c r="F46" s="1"/>
      <c r="G46" s="1"/>
      <c r="H46" s="1"/>
    </row>
    <row r="49" ht="46.5" customHeight="1" x14ac:dyDescent="0.25"/>
  </sheetData>
  <mergeCells count="2">
    <mergeCell ref="C3:E3"/>
    <mergeCell ref="F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5"/>
  <sheetViews>
    <sheetView workbookViewId="0">
      <selection activeCell="G33" sqref="G33"/>
    </sheetView>
  </sheetViews>
  <sheetFormatPr defaultRowHeight="15" x14ac:dyDescent="0.25"/>
  <cols>
    <col min="3" max="3" width="11.5703125" bestFit="1" customWidth="1"/>
    <col min="4" max="4" width="11.5703125" customWidth="1"/>
    <col min="5" max="5" width="12.5703125" customWidth="1"/>
    <col min="6" max="7" width="12.140625" customWidth="1"/>
    <col min="8" max="9" width="14.28515625" bestFit="1" customWidth="1"/>
    <col min="10" max="10" width="12.5703125" bestFit="1" customWidth="1"/>
    <col min="11" max="11" width="14.140625" customWidth="1"/>
    <col min="12" max="13" width="18.42578125" customWidth="1"/>
  </cols>
  <sheetData>
    <row r="2" spans="2:13" ht="18.75" x14ac:dyDescent="0.3">
      <c r="B2" s="8" t="s">
        <v>6</v>
      </c>
    </row>
    <row r="3" spans="2:13" ht="30" x14ac:dyDescent="0.25">
      <c r="B3" s="31" t="s">
        <v>54</v>
      </c>
      <c r="C3" s="25" t="s">
        <v>8</v>
      </c>
      <c r="D3" s="25" t="s">
        <v>9</v>
      </c>
      <c r="E3" s="25" t="s">
        <v>10</v>
      </c>
      <c r="F3" s="25" t="s">
        <v>11</v>
      </c>
      <c r="G3" s="25" t="s">
        <v>12</v>
      </c>
      <c r="H3" s="25" t="s">
        <v>13</v>
      </c>
      <c r="I3" s="25" t="s">
        <v>14</v>
      </c>
      <c r="J3" s="25" t="s">
        <v>51</v>
      </c>
      <c r="L3" s="25" t="s">
        <v>52</v>
      </c>
      <c r="M3" s="25" t="s">
        <v>53</v>
      </c>
    </row>
    <row r="4" spans="2:13" x14ac:dyDescent="0.25">
      <c r="B4" s="31"/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14"/>
    </row>
    <row r="5" spans="2:13" x14ac:dyDescent="0.25">
      <c r="B5" s="25">
        <v>2003</v>
      </c>
      <c r="C5" s="4">
        <v>72896</v>
      </c>
      <c r="D5" s="4">
        <v>10519.43</v>
      </c>
      <c r="E5" s="4">
        <v>6980</v>
      </c>
      <c r="F5" s="2">
        <v>0</v>
      </c>
      <c r="G5" s="4"/>
      <c r="H5" s="14"/>
      <c r="I5" s="14"/>
    </row>
    <row r="6" spans="2:13" x14ac:dyDescent="0.25">
      <c r="B6" s="25">
        <v>2004</v>
      </c>
      <c r="C6" s="4">
        <v>226554</v>
      </c>
      <c r="D6" s="4">
        <v>22594.28</v>
      </c>
      <c r="E6" s="4">
        <f>C6*1000/D6</f>
        <v>10027.051094347773</v>
      </c>
      <c r="F6" s="2">
        <f>E6/$E$5-1</f>
        <v>0.43654027139652918</v>
      </c>
      <c r="G6" s="4">
        <v>689432.99</v>
      </c>
      <c r="H6" s="15">
        <v>2425171.9</v>
      </c>
      <c r="I6" s="16">
        <v>1499588.66</v>
      </c>
      <c r="J6" s="17">
        <f>SUM($I$6:I6)</f>
        <v>1499588.66</v>
      </c>
      <c r="K6" s="17"/>
      <c r="L6" s="29">
        <v>3.04</v>
      </c>
      <c r="M6" s="29">
        <v>9.66</v>
      </c>
    </row>
    <row r="7" spans="2:13" x14ac:dyDescent="0.25">
      <c r="B7" s="25">
        <v>2005</v>
      </c>
      <c r="C7" s="4">
        <v>249253</v>
      </c>
      <c r="D7" s="4">
        <v>22955.13</v>
      </c>
      <c r="E7" s="4">
        <f t="shared" ref="E7:E22" si="0">C7*1000/D7</f>
        <v>10858.27002504451</v>
      </c>
      <c r="F7" s="2">
        <f t="shared" ref="F7:F24" si="1">E7/$E$5-1</f>
        <v>0.55562607808660602</v>
      </c>
      <c r="G7" s="4">
        <v>702197.43</v>
      </c>
      <c r="H7" s="16">
        <v>2548001.33</v>
      </c>
      <c r="I7" s="16">
        <v>1678545.65</v>
      </c>
      <c r="J7" s="17">
        <f>SUM($I$6:I7)</f>
        <v>3178134.3099999996</v>
      </c>
      <c r="K7" s="17"/>
      <c r="L7" s="29">
        <v>2.82</v>
      </c>
      <c r="M7" s="29">
        <v>9.5500000000000007</v>
      </c>
    </row>
    <row r="8" spans="2:13" x14ac:dyDescent="0.25">
      <c r="B8" s="25">
        <v>2006</v>
      </c>
      <c r="C8" s="4">
        <v>239897.7</v>
      </c>
      <c r="D8" s="4">
        <v>21280.99</v>
      </c>
      <c r="E8" s="4">
        <f t="shared" si="0"/>
        <v>11272.863715456846</v>
      </c>
      <c r="F8" s="2">
        <f t="shared" si="1"/>
        <v>0.61502345493651078</v>
      </c>
      <c r="G8" s="4">
        <v>649957.69999999995</v>
      </c>
      <c r="H8" s="16">
        <v>3155233.95</v>
      </c>
      <c r="I8" s="16">
        <v>2189696.5499999998</v>
      </c>
      <c r="J8" s="17">
        <f>SUM($I$6:I8)</f>
        <v>5367830.8599999994</v>
      </c>
      <c r="K8" s="17"/>
      <c r="L8" s="29">
        <v>2.71</v>
      </c>
      <c r="M8" s="29">
        <v>11.84</v>
      </c>
    </row>
    <row r="9" spans="2:13" x14ac:dyDescent="0.25">
      <c r="B9" s="25">
        <v>2007</v>
      </c>
      <c r="C9" s="4">
        <v>235440.8</v>
      </c>
      <c r="D9" s="4">
        <v>21038.06</v>
      </c>
      <c r="E9" s="4">
        <f t="shared" si="0"/>
        <v>11191.183977990366</v>
      </c>
      <c r="F9" s="2">
        <f t="shared" si="1"/>
        <v>0.60332148681810405</v>
      </c>
      <c r="G9" s="4">
        <v>643544.26</v>
      </c>
      <c r="H9" s="16">
        <v>3175273.41</v>
      </c>
      <c r="I9" s="16">
        <v>2147394.85</v>
      </c>
      <c r="J9" s="17">
        <f>SUM($I$6:I9)</f>
        <v>7515225.709999999</v>
      </c>
      <c r="K9" s="17"/>
      <c r="L9" s="29">
        <v>2.73</v>
      </c>
      <c r="M9" s="29">
        <v>11.85</v>
      </c>
    </row>
    <row r="10" spans="2:13" x14ac:dyDescent="0.25">
      <c r="B10" s="25">
        <v>2008</v>
      </c>
      <c r="C10" s="4">
        <v>256654.18</v>
      </c>
      <c r="D10" s="4">
        <v>21443.49</v>
      </c>
      <c r="E10" s="4">
        <f t="shared" si="0"/>
        <v>11968.862344702284</v>
      </c>
      <c r="F10" s="2">
        <f t="shared" si="1"/>
        <v>0.71473672560204649</v>
      </c>
      <c r="G10" s="4">
        <v>793409.13</v>
      </c>
      <c r="H10" s="16">
        <v>3922313.89</v>
      </c>
      <c r="I10" s="16">
        <v>2480383.0699999998</v>
      </c>
      <c r="J10" s="17">
        <f>SUM($I$6:I10)</f>
        <v>9995608.7799999993</v>
      </c>
      <c r="K10" s="17"/>
      <c r="L10" s="29">
        <v>3.09</v>
      </c>
      <c r="M10" s="29">
        <v>12.76</v>
      </c>
    </row>
    <row r="11" spans="2:13" x14ac:dyDescent="0.25">
      <c r="B11" s="25">
        <v>2009</v>
      </c>
      <c r="C11" s="4">
        <v>293380</v>
      </c>
      <c r="D11" s="4">
        <v>21196.61</v>
      </c>
      <c r="E11" s="4">
        <f t="shared" si="0"/>
        <v>13840.892482335619</v>
      </c>
      <c r="F11" s="2">
        <f t="shared" si="1"/>
        <v>0.98293588572143542</v>
      </c>
      <c r="G11" s="4">
        <v>1222850.44</v>
      </c>
      <c r="H11" s="16">
        <v>4314783.99</v>
      </c>
      <c r="I11" s="16">
        <v>2525813.9900000002</v>
      </c>
      <c r="J11" s="17">
        <f>SUM($I$6:I11)</f>
        <v>12521422.77</v>
      </c>
      <c r="K11" s="17"/>
      <c r="L11" s="29">
        <v>4.17</v>
      </c>
      <c r="M11" s="29">
        <v>12.78</v>
      </c>
    </row>
    <row r="12" spans="2:13" x14ac:dyDescent="0.25">
      <c r="B12" s="25">
        <v>2010</v>
      </c>
      <c r="C12" s="4">
        <v>264965</v>
      </c>
      <c r="D12" s="4">
        <v>21041.77</v>
      </c>
      <c r="E12" s="4">
        <f t="shared" si="0"/>
        <v>12592.334200022146</v>
      </c>
      <c r="F12" s="2">
        <f t="shared" si="1"/>
        <v>0.80405934097738485</v>
      </c>
      <c r="G12" s="4">
        <v>1280558.77</v>
      </c>
      <c r="H12" s="16">
        <v>2374658.36</v>
      </c>
      <c r="I12" s="16">
        <v>904734.87</v>
      </c>
      <c r="J12" s="17">
        <f>SUM($I$6:I12)</f>
        <v>13426157.639999999</v>
      </c>
      <c r="K12" s="17"/>
      <c r="L12" s="29">
        <v>4.83</v>
      </c>
      <c r="M12" s="29">
        <v>8.25</v>
      </c>
    </row>
    <row r="13" spans="2:13" x14ac:dyDescent="0.25">
      <c r="B13" s="25">
        <v>2011</v>
      </c>
      <c r="C13" s="4">
        <v>270221.38</v>
      </c>
      <c r="D13" s="4">
        <v>21987.3</v>
      </c>
      <c r="E13" s="4">
        <f t="shared" si="0"/>
        <v>12289.88461520969</v>
      </c>
      <c r="F13" s="2">
        <f t="shared" si="1"/>
        <v>0.76072845490110175</v>
      </c>
      <c r="G13" s="4">
        <v>1306053.69</v>
      </c>
      <c r="H13" s="16">
        <v>2186458.73</v>
      </c>
      <c r="I13" s="16">
        <v>759823.04</v>
      </c>
      <c r="J13" s="17">
        <f>SUM($I$6:I13)</f>
        <v>14185980.68</v>
      </c>
      <c r="K13" s="17"/>
      <c r="L13" s="29">
        <v>4.83</v>
      </c>
      <c r="M13" s="29">
        <v>7.65</v>
      </c>
    </row>
    <row r="14" spans="2:13" x14ac:dyDescent="0.25">
      <c r="B14" s="25">
        <v>2012</v>
      </c>
      <c r="C14" s="4">
        <v>229595.61</v>
      </c>
      <c r="D14" s="4">
        <v>17692.12</v>
      </c>
      <c r="E14" s="4">
        <f t="shared" si="0"/>
        <v>12977.280845935931</v>
      </c>
      <c r="F14" s="2">
        <f t="shared" si="1"/>
        <v>0.85920929024870074</v>
      </c>
      <c r="G14" s="4">
        <v>1059973.6000000001</v>
      </c>
      <c r="H14" s="16">
        <v>1921275.77</v>
      </c>
      <c r="I14" s="16">
        <v>673459.57</v>
      </c>
      <c r="J14" s="17">
        <f>SUM($I$6:I14)</f>
        <v>14859440.25</v>
      </c>
      <c r="K14" s="17"/>
      <c r="L14" s="29">
        <v>4.62</v>
      </c>
      <c r="M14" s="29">
        <v>7.55</v>
      </c>
    </row>
    <row r="15" spans="2:13" x14ac:dyDescent="0.25">
      <c r="B15" s="25">
        <v>2013</v>
      </c>
      <c r="C15" s="4">
        <v>243122.2</v>
      </c>
      <c r="D15" s="4">
        <v>18699.57</v>
      </c>
      <c r="E15" s="4">
        <f t="shared" si="0"/>
        <v>13001.486130429737</v>
      </c>
      <c r="F15" s="2">
        <f t="shared" si="1"/>
        <v>0.86267709605010556</v>
      </c>
      <c r="G15" s="4">
        <v>1041122.41</v>
      </c>
      <c r="H15" s="16">
        <v>2122021.73</v>
      </c>
      <c r="I15" s="16">
        <v>930220.12</v>
      </c>
      <c r="J15" s="17">
        <f>SUM($I$6:I15)</f>
        <v>15789660.369999999</v>
      </c>
      <c r="K15" s="17"/>
      <c r="L15" s="29">
        <v>4.28</v>
      </c>
      <c r="M15" s="29">
        <v>8.11</v>
      </c>
    </row>
    <row r="16" spans="2:13" x14ac:dyDescent="0.25">
      <c r="B16" s="25">
        <v>2014</v>
      </c>
      <c r="C16" s="4">
        <v>253026.7</v>
      </c>
      <c r="D16" s="4">
        <v>19116.63</v>
      </c>
      <c r="E16" s="4">
        <f t="shared" si="0"/>
        <v>13235.946921606997</v>
      </c>
      <c r="F16" s="2">
        <f t="shared" si="1"/>
        <v>0.89626746727893947</v>
      </c>
      <c r="G16" s="4">
        <v>974948.13</v>
      </c>
      <c r="H16" s="16">
        <v>2179984.38</v>
      </c>
      <c r="I16" s="16">
        <v>1008296.85</v>
      </c>
      <c r="J16" s="17">
        <f>SUM($I$6:I16)</f>
        <v>16797957.219999999</v>
      </c>
      <c r="K16" s="17"/>
      <c r="L16" s="29">
        <v>3.85</v>
      </c>
      <c r="M16" s="29">
        <v>7.84</v>
      </c>
    </row>
    <row r="17" spans="2:13" x14ac:dyDescent="0.25">
      <c r="B17" s="25">
        <v>2015</v>
      </c>
      <c r="C17" s="4">
        <v>255955.03</v>
      </c>
      <c r="D17" s="4">
        <v>19605.28</v>
      </c>
      <c r="E17" s="4">
        <f t="shared" si="0"/>
        <v>13055.413133604825</v>
      </c>
      <c r="F17" s="2">
        <f t="shared" si="1"/>
        <v>0.87040302773708089</v>
      </c>
      <c r="G17" s="4">
        <v>999869.3</v>
      </c>
      <c r="H17" s="16">
        <v>2151420.13</v>
      </c>
      <c r="I17" s="16">
        <v>1042678.35</v>
      </c>
      <c r="J17" s="17">
        <f>SUM($I$6:I17)</f>
        <v>17840635.57</v>
      </c>
      <c r="K17" s="17"/>
      <c r="L17" s="29">
        <v>3.91</v>
      </c>
      <c r="M17" s="29">
        <v>7.98</v>
      </c>
    </row>
    <row r="18" spans="2:13" x14ac:dyDescent="0.25">
      <c r="B18" s="25">
        <v>2016</v>
      </c>
      <c r="C18" s="4">
        <v>242685.1</v>
      </c>
      <c r="D18" s="4">
        <v>18216.93</v>
      </c>
      <c r="E18" s="4">
        <f t="shared" si="0"/>
        <v>13321.953808901939</v>
      </c>
      <c r="F18" s="2">
        <f t="shared" si="1"/>
        <v>0.90858937090285652</v>
      </c>
      <c r="G18" s="4">
        <v>926853.6</v>
      </c>
      <c r="H18" s="16">
        <v>2059394.71</v>
      </c>
      <c r="I18" s="16">
        <v>995118.31</v>
      </c>
      <c r="J18" s="17">
        <f>SUM($I$6:I18)</f>
        <v>18835753.879999999</v>
      </c>
      <c r="K18" s="17"/>
      <c r="L18" s="29">
        <v>3.82</v>
      </c>
      <c r="M18" s="29">
        <v>7.92</v>
      </c>
    </row>
    <row r="19" spans="2:13" x14ac:dyDescent="0.25">
      <c r="B19" s="25">
        <v>2017</v>
      </c>
      <c r="C19" s="4">
        <v>263909</v>
      </c>
      <c r="D19" s="4">
        <v>20114.18</v>
      </c>
      <c r="E19" s="4">
        <f t="shared" si="0"/>
        <v>13120.544809681527</v>
      </c>
      <c r="F19" s="2">
        <f t="shared" si="1"/>
        <v>0.87973421342142233</v>
      </c>
      <c r="G19" s="4">
        <v>1025823</v>
      </c>
      <c r="H19" s="16">
        <v>2283639.08</v>
      </c>
      <c r="I19" s="16">
        <v>1091191.1000000001</v>
      </c>
      <c r="J19" s="17">
        <f>SUM($I$6:I19)</f>
        <v>19926944.98</v>
      </c>
      <c r="K19" s="17"/>
      <c r="L19" s="29">
        <v>3.89</v>
      </c>
      <c r="M19" s="29">
        <v>8.02</v>
      </c>
    </row>
    <row r="20" spans="2:13" x14ac:dyDescent="0.25">
      <c r="B20" s="25">
        <v>2018</v>
      </c>
      <c r="C20" s="4">
        <v>258688</v>
      </c>
      <c r="D20" s="4">
        <v>19831.060000000001</v>
      </c>
      <c r="E20" s="4">
        <f t="shared" si="0"/>
        <v>13044.587631725182</v>
      </c>
      <c r="F20" s="2">
        <f t="shared" si="1"/>
        <v>0.86885209623569937</v>
      </c>
      <c r="G20" s="4">
        <v>1011384.06</v>
      </c>
      <c r="H20" s="16">
        <v>2168100.83</v>
      </c>
      <c r="I20" s="16">
        <v>1046109.17</v>
      </c>
      <c r="J20" s="17">
        <f>SUM($I$6:I20)</f>
        <v>20973054.150000002</v>
      </c>
      <c r="K20" s="17"/>
      <c r="L20" s="29">
        <v>3.91</v>
      </c>
      <c r="M20" s="29">
        <v>7.95</v>
      </c>
    </row>
    <row r="21" spans="2:13" x14ac:dyDescent="0.25">
      <c r="B21" s="25">
        <v>2019</v>
      </c>
      <c r="C21" s="4">
        <v>270978.59999999998</v>
      </c>
      <c r="D21" s="4">
        <v>20653.02</v>
      </c>
      <c r="E21" s="4">
        <f t="shared" si="0"/>
        <v>13120.531525171622</v>
      </c>
      <c r="F21" s="2">
        <f t="shared" si="1"/>
        <v>0.87973231019650755</v>
      </c>
      <c r="G21" s="4">
        <v>1053304.02</v>
      </c>
      <c r="H21" s="16">
        <v>2344138.31</v>
      </c>
      <c r="I21" s="16">
        <v>1104391.49</v>
      </c>
      <c r="J21" s="17">
        <f>SUM($I$6:I21)</f>
        <v>22077445.640000001</v>
      </c>
      <c r="K21" s="17"/>
      <c r="L21" s="29">
        <v>3.89</v>
      </c>
      <c r="M21" s="29">
        <v>7.96</v>
      </c>
    </row>
    <row r="22" spans="2:13" x14ac:dyDescent="0.25">
      <c r="B22" s="25">
        <v>2020</v>
      </c>
      <c r="C22" s="4">
        <v>234402.84</v>
      </c>
      <c r="D22" s="4">
        <v>20192.830000000002</v>
      </c>
      <c r="E22" s="4">
        <f t="shared" si="0"/>
        <v>11608.22133400816</v>
      </c>
      <c r="F22" s="2">
        <f t="shared" si="1"/>
        <v>0.66306895902695695</v>
      </c>
      <c r="G22" s="4">
        <v>1029834.33</v>
      </c>
      <c r="H22" s="16">
        <v>2004306.92</v>
      </c>
      <c r="I22" s="16">
        <v>855770.99</v>
      </c>
      <c r="J22" s="17">
        <f>SUM($I$6:I22)</f>
        <v>22933216.629999999</v>
      </c>
      <c r="K22" s="17"/>
      <c r="L22" s="29">
        <v>4.3899999999999997</v>
      </c>
      <c r="M22" s="29">
        <v>8.0399999999999991</v>
      </c>
    </row>
    <row r="23" spans="2:13" x14ac:dyDescent="0.25">
      <c r="B23" s="25">
        <v>2021</v>
      </c>
      <c r="C23" s="30">
        <v>258538.5</v>
      </c>
      <c r="D23" s="4">
        <v>20794.78</v>
      </c>
      <c r="E23" s="4">
        <f>C23*1000/D23</f>
        <v>12432.855745528446</v>
      </c>
      <c r="F23" s="2">
        <f t="shared" si="1"/>
        <v>0.78121142486080886</v>
      </c>
      <c r="G23" s="4">
        <v>1060533.78</v>
      </c>
      <c r="H23" s="16">
        <v>2003062</v>
      </c>
      <c r="I23" s="16">
        <v>896573.62</v>
      </c>
      <c r="J23" s="17">
        <f>SUM($I$6:I23)</f>
        <v>23829790.25</v>
      </c>
      <c r="K23" s="17"/>
      <c r="L23" s="29">
        <v>4.0999999999999996</v>
      </c>
      <c r="M23" s="29">
        <v>7.57</v>
      </c>
    </row>
    <row r="24" spans="2:13" x14ac:dyDescent="0.25">
      <c r="B24" s="25">
        <v>2022</v>
      </c>
      <c r="C24" s="4">
        <v>250177</v>
      </c>
      <c r="D24" s="4">
        <v>19203.82</v>
      </c>
      <c r="E24" s="4">
        <f>C24*1000/D24</f>
        <v>13027.46016157202</v>
      </c>
      <c r="F24" s="2">
        <f t="shared" si="1"/>
        <v>0.86639830395014616</v>
      </c>
      <c r="G24" s="4">
        <v>1001246</v>
      </c>
      <c r="H24" s="16">
        <v>3016682.78</v>
      </c>
      <c r="I24" s="16">
        <v>1655083.06</v>
      </c>
      <c r="J24" s="17">
        <f>SUM($I$6:I24)</f>
        <v>25484873.309999999</v>
      </c>
      <c r="K24" s="17"/>
      <c r="L24" s="29">
        <v>4</v>
      </c>
      <c r="M24" s="29">
        <v>10.62</v>
      </c>
    </row>
    <row r="25" spans="2:13" x14ac:dyDescent="0.25">
      <c r="B25" s="26" t="s">
        <v>20</v>
      </c>
      <c r="C25" s="27"/>
      <c r="D25" s="27"/>
      <c r="E25" s="27"/>
      <c r="F25" s="27"/>
      <c r="G25" s="27"/>
      <c r="H25" s="28">
        <f>SUM(H6:H24)</f>
        <v>48355922.199999996</v>
      </c>
      <c r="I25" s="28">
        <f>SUM(I6:I24)</f>
        <v>25484873.309999999</v>
      </c>
      <c r="J25" s="27"/>
    </row>
  </sheetData>
  <mergeCells count="1">
    <mergeCell ref="B3:B4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"/>
  <sheetViews>
    <sheetView workbookViewId="0">
      <selection activeCell="K27" sqref="K27"/>
    </sheetView>
  </sheetViews>
  <sheetFormatPr defaultRowHeight="15" x14ac:dyDescent="0.25"/>
  <cols>
    <col min="2" max="2" width="16.140625" customWidth="1"/>
    <col min="3" max="6" width="13.7109375" customWidth="1"/>
    <col min="7" max="7" width="14.28515625" bestFit="1" customWidth="1"/>
    <col min="8" max="8" width="10.5703125" customWidth="1"/>
  </cols>
  <sheetData>
    <row r="2" spans="1:9" ht="30" customHeight="1" x14ac:dyDescent="0.25">
      <c r="B2" s="22" t="s">
        <v>21</v>
      </c>
      <c r="C2" s="23" t="s">
        <v>22</v>
      </c>
      <c r="D2" s="23" t="s">
        <v>23</v>
      </c>
      <c r="E2" s="23" t="s">
        <v>24</v>
      </c>
      <c r="F2" s="23" t="s">
        <v>25</v>
      </c>
      <c r="G2" s="23" t="s">
        <v>26</v>
      </c>
      <c r="H2" s="23" t="s">
        <v>55</v>
      </c>
      <c r="I2" s="23"/>
    </row>
    <row r="3" spans="1:9" x14ac:dyDescent="0.25">
      <c r="A3">
        <v>2003</v>
      </c>
      <c r="B3" s="11">
        <v>72896</v>
      </c>
      <c r="C3" s="14"/>
      <c r="D3" s="11"/>
      <c r="E3" s="14"/>
    </row>
    <row r="4" spans="1:9" x14ac:dyDescent="0.25">
      <c r="A4">
        <v>2004</v>
      </c>
      <c r="B4" s="11">
        <v>226554</v>
      </c>
      <c r="C4" s="14">
        <v>3.04</v>
      </c>
      <c r="D4" s="11">
        <v>24440.5</v>
      </c>
      <c r="E4" s="14">
        <v>9.66</v>
      </c>
      <c r="F4" s="11">
        <f>B4+D4</f>
        <v>250994.5</v>
      </c>
      <c r="G4" s="16">
        <f>689432.99+236209.5</f>
        <v>925642.49</v>
      </c>
      <c r="H4" s="6">
        <f>B4/F4</f>
        <v>0.90262535633250929</v>
      </c>
    </row>
    <row r="5" spans="1:9" x14ac:dyDescent="0.25">
      <c r="A5">
        <v>2005</v>
      </c>
      <c r="B5" s="11">
        <v>249253</v>
      </c>
      <c r="C5" s="14">
        <v>2.82</v>
      </c>
      <c r="D5" s="11">
        <v>17511.18</v>
      </c>
      <c r="E5" s="14">
        <v>9.5500000000000007</v>
      </c>
      <c r="F5" s="11">
        <f t="shared" ref="F5:F22" si="0">B5+D5</f>
        <v>266764.18</v>
      </c>
      <c r="G5" s="16">
        <f>702197.43+167258.25</f>
        <v>869455.68</v>
      </c>
      <c r="H5" s="6">
        <f t="shared" ref="H5:H20" si="1">B5/F5</f>
        <v>0.93435707897514575</v>
      </c>
    </row>
    <row r="6" spans="1:9" x14ac:dyDescent="0.25">
      <c r="A6">
        <v>2006</v>
      </c>
      <c r="B6" s="11">
        <v>239897.7</v>
      </c>
      <c r="C6" s="14">
        <v>2.71</v>
      </c>
      <c r="D6" s="11">
        <v>26567.01</v>
      </c>
      <c r="E6" s="14">
        <v>11.84</v>
      </c>
      <c r="F6" s="11">
        <f t="shared" si="0"/>
        <v>266464.71000000002</v>
      </c>
      <c r="G6" s="16">
        <f>650954.89+315038.8</f>
        <v>965993.69</v>
      </c>
      <c r="H6" s="6">
        <f t="shared" si="1"/>
        <v>0.90029820459151977</v>
      </c>
    </row>
    <row r="7" spans="1:9" x14ac:dyDescent="0.25">
      <c r="A7">
        <v>2007</v>
      </c>
      <c r="B7" s="11">
        <v>235440.8</v>
      </c>
      <c r="C7" s="14">
        <v>2.73</v>
      </c>
      <c r="D7" s="11">
        <v>32421.09</v>
      </c>
      <c r="E7" s="14">
        <v>11.85</v>
      </c>
      <c r="F7" s="11">
        <f t="shared" si="0"/>
        <v>267861.89</v>
      </c>
      <c r="G7" s="16">
        <f>643554.26+384333.1</f>
        <v>1027887.36</v>
      </c>
      <c r="H7" s="6">
        <f t="shared" si="1"/>
        <v>0.87896340909115511</v>
      </c>
    </row>
    <row r="8" spans="1:9" x14ac:dyDescent="0.25">
      <c r="A8">
        <v>2008</v>
      </c>
      <c r="B8" s="11">
        <v>256654.18</v>
      </c>
      <c r="C8" s="14">
        <v>3.09</v>
      </c>
      <c r="D8" s="11">
        <v>50841.9</v>
      </c>
      <c r="E8" s="14">
        <v>12.76</v>
      </c>
      <c r="F8" s="11">
        <f t="shared" si="0"/>
        <v>307496.08</v>
      </c>
      <c r="G8" s="16">
        <f>793409.13+648545.42</f>
        <v>1441954.55</v>
      </c>
      <c r="H8" s="6">
        <f t="shared" si="1"/>
        <v>0.83465838003528359</v>
      </c>
    </row>
    <row r="9" spans="1:9" x14ac:dyDescent="0.25">
      <c r="A9">
        <v>2009</v>
      </c>
      <c r="B9" s="11">
        <v>293380</v>
      </c>
      <c r="C9" s="14">
        <v>4.17</v>
      </c>
      <c r="D9" s="11">
        <v>44306</v>
      </c>
      <c r="E9" s="14">
        <v>12.78</v>
      </c>
      <c r="F9" s="11">
        <f t="shared" si="0"/>
        <v>337686</v>
      </c>
      <c r="G9" s="16">
        <f>1222850.44+566119.56</f>
        <v>1788970</v>
      </c>
      <c r="H9" s="6">
        <f t="shared" si="1"/>
        <v>0.86879527134675405</v>
      </c>
    </row>
    <row r="10" spans="1:9" x14ac:dyDescent="0.25">
      <c r="A10">
        <v>2010</v>
      </c>
      <c r="B10" s="11">
        <v>264965</v>
      </c>
      <c r="C10" s="14">
        <v>4.83</v>
      </c>
      <c r="D10" s="11">
        <v>22960.3</v>
      </c>
      <c r="E10" s="14">
        <v>8.25</v>
      </c>
      <c r="F10" s="11">
        <f t="shared" si="0"/>
        <v>287925.3</v>
      </c>
      <c r="G10" s="16">
        <f>1280558.77+189985.95</f>
        <v>1470544.72</v>
      </c>
      <c r="H10" s="6">
        <f t="shared" si="1"/>
        <v>0.92025605252473475</v>
      </c>
    </row>
    <row r="11" spans="1:9" x14ac:dyDescent="0.25">
      <c r="A11">
        <v>2011</v>
      </c>
      <c r="B11" s="11">
        <v>270221.38</v>
      </c>
      <c r="C11" s="14">
        <v>4.83</v>
      </c>
      <c r="D11" s="11">
        <v>15772.4</v>
      </c>
      <c r="E11" s="14">
        <v>7.65</v>
      </c>
      <c r="F11" s="11">
        <f t="shared" si="0"/>
        <v>285993.78000000003</v>
      </c>
      <c r="G11" s="16">
        <f>1306053.69+120585</f>
        <v>1426638.69</v>
      </c>
      <c r="H11" s="6">
        <f t="shared" si="1"/>
        <v>0.94485054884760078</v>
      </c>
    </row>
    <row r="12" spans="1:9" x14ac:dyDescent="0.25">
      <c r="A12">
        <v>2012</v>
      </c>
      <c r="B12" s="11">
        <v>229595.61</v>
      </c>
      <c r="C12" s="14">
        <v>4.62</v>
      </c>
      <c r="D12" s="11">
        <v>24880.01</v>
      </c>
      <c r="E12" s="14">
        <v>7.55</v>
      </c>
      <c r="F12" s="11">
        <f t="shared" si="0"/>
        <v>254475.62</v>
      </c>
      <c r="G12" s="16">
        <f>1059973.6+187842.6</f>
        <v>1247816.2000000002</v>
      </c>
      <c r="H12" s="6">
        <f t="shared" si="1"/>
        <v>0.90223028044886966</v>
      </c>
    </row>
    <row r="13" spans="1:9" x14ac:dyDescent="0.25">
      <c r="A13">
        <v>2013</v>
      </c>
      <c r="B13" s="11">
        <v>243122.2</v>
      </c>
      <c r="C13" s="14">
        <v>4.28</v>
      </c>
      <c r="D13" s="11">
        <v>18583</v>
      </c>
      <c r="E13" s="14">
        <v>8.11</v>
      </c>
      <c r="F13" s="11">
        <f t="shared" si="0"/>
        <v>261705.2</v>
      </c>
      <c r="G13" s="16">
        <f>1041122.41+151135.8</f>
        <v>1192258.21</v>
      </c>
      <c r="H13" s="6">
        <f t="shared" si="1"/>
        <v>0.9289926222329552</v>
      </c>
    </row>
    <row r="14" spans="1:9" x14ac:dyDescent="0.25">
      <c r="A14">
        <v>2014</v>
      </c>
      <c r="B14" s="11">
        <v>253026.7</v>
      </c>
      <c r="C14" s="14">
        <v>3.85</v>
      </c>
      <c r="D14" s="11">
        <v>25100.44</v>
      </c>
      <c r="E14" s="14">
        <v>7.84</v>
      </c>
      <c r="F14" s="11">
        <f t="shared" si="0"/>
        <v>278127.14</v>
      </c>
      <c r="G14" s="16">
        <f>974948.13+196739.4</f>
        <v>1171687.53</v>
      </c>
      <c r="H14" s="6">
        <f t="shared" si="1"/>
        <v>0.90975192136948591</v>
      </c>
    </row>
    <row r="15" spans="1:9" x14ac:dyDescent="0.25">
      <c r="A15">
        <v>2015</v>
      </c>
      <c r="B15" s="11">
        <v>255955.03</v>
      </c>
      <c r="C15" s="14">
        <v>3.91</v>
      </c>
      <c r="D15" s="11">
        <v>13642.98</v>
      </c>
      <c r="E15" s="14">
        <v>7.98</v>
      </c>
      <c r="F15" s="11">
        <f t="shared" si="0"/>
        <v>269598.01</v>
      </c>
      <c r="G15" s="16">
        <f>999869.38+108888.6</f>
        <v>1108757.98</v>
      </c>
      <c r="H15" s="6">
        <f t="shared" si="1"/>
        <v>0.94939510124722359</v>
      </c>
    </row>
    <row r="16" spans="1:9" x14ac:dyDescent="0.25">
      <c r="A16">
        <v>2016</v>
      </c>
      <c r="B16" s="11">
        <v>242685.1</v>
      </c>
      <c r="C16" s="14">
        <v>3.82</v>
      </c>
      <c r="D16" s="11">
        <v>17352.21</v>
      </c>
      <c r="E16" s="14">
        <v>7.92</v>
      </c>
      <c r="F16" s="11">
        <f t="shared" si="0"/>
        <v>260037.31</v>
      </c>
      <c r="G16" s="16">
        <f>926853.6+138372</f>
        <v>1065225.6000000001</v>
      </c>
      <c r="H16" s="6">
        <f t="shared" si="1"/>
        <v>0.93327030648025089</v>
      </c>
    </row>
    <row r="17" spans="1:8" x14ac:dyDescent="0.25">
      <c r="A17">
        <v>2017</v>
      </c>
      <c r="B17" s="11">
        <v>263909</v>
      </c>
      <c r="C17" s="14">
        <v>3.89</v>
      </c>
      <c r="D17" s="11">
        <v>20771.61</v>
      </c>
      <c r="E17" s="14">
        <v>8.02</v>
      </c>
      <c r="F17" s="11">
        <f t="shared" si="0"/>
        <v>284680.61</v>
      </c>
      <c r="G17" s="16">
        <f>1025823.18+166624.8</f>
        <v>1192447.98</v>
      </c>
      <c r="H17" s="6">
        <f t="shared" si="1"/>
        <v>0.92703538888721648</v>
      </c>
    </row>
    <row r="18" spans="1:8" x14ac:dyDescent="0.25">
      <c r="A18">
        <v>2018</v>
      </c>
      <c r="B18" s="11">
        <v>258688</v>
      </c>
      <c r="C18" s="14">
        <v>3.91</v>
      </c>
      <c r="D18" s="11">
        <v>13906.66</v>
      </c>
      <c r="E18" s="14">
        <v>7.95</v>
      </c>
      <c r="F18" s="11">
        <f t="shared" si="0"/>
        <v>272594.65999999997</v>
      </c>
      <c r="G18" s="16">
        <f>1011384.06+110607.6</f>
        <v>1121991.6600000001</v>
      </c>
      <c r="H18" s="6">
        <f t="shared" si="1"/>
        <v>0.94898410702542746</v>
      </c>
    </row>
    <row r="19" spans="1:8" x14ac:dyDescent="0.25">
      <c r="A19">
        <v>2019</v>
      </c>
      <c r="B19" s="11">
        <v>270978.59999999998</v>
      </c>
      <c r="C19" s="14">
        <v>3.89</v>
      </c>
      <c r="D19" s="11">
        <v>23414.799999999999</v>
      </c>
      <c r="E19" s="14">
        <v>7.96</v>
      </c>
      <c r="F19" s="11">
        <f t="shared" si="0"/>
        <v>294393.39999999997</v>
      </c>
      <c r="G19" s="16">
        <f>1053304.02+186442.8</f>
        <v>1239746.82</v>
      </c>
      <c r="H19" s="6">
        <f t="shared" si="1"/>
        <v>0.92046424953820294</v>
      </c>
    </row>
    <row r="20" spans="1:8" x14ac:dyDescent="0.25">
      <c r="A20">
        <v>2020</v>
      </c>
      <c r="B20" s="11">
        <v>234402.84</v>
      </c>
      <c r="C20" s="14">
        <v>4.3899999999999997</v>
      </c>
      <c r="D20" s="11">
        <v>14756</v>
      </c>
      <c r="E20" s="14">
        <v>8.0399999999999991</v>
      </c>
      <c r="F20" s="11">
        <f t="shared" si="0"/>
        <v>249158.84</v>
      </c>
      <c r="G20" s="16">
        <v>1148608.53</v>
      </c>
      <c r="H20" s="6">
        <f t="shared" si="1"/>
        <v>0.94077673503376402</v>
      </c>
    </row>
    <row r="21" spans="1:8" x14ac:dyDescent="0.25">
      <c r="A21">
        <v>2021</v>
      </c>
      <c r="B21" s="11">
        <v>258538.5</v>
      </c>
      <c r="C21" s="14">
        <v>4.0999999999999996</v>
      </c>
      <c r="D21" s="11">
        <v>6066.83</v>
      </c>
      <c r="E21" s="14">
        <v>7.57</v>
      </c>
      <c r="F21" s="11">
        <f t="shared" si="0"/>
        <v>264605.33</v>
      </c>
      <c r="G21" s="16">
        <f>1060533.78+45954.6</f>
        <v>1106488.3800000001</v>
      </c>
      <c r="H21" s="6">
        <f>B21/F21</f>
        <v>0.97707215497133026</v>
      </c>
    </row>
    <row r="22" spans="1:8" x14ac:dyDescent="0.25">
      <c r="A22">
        <v>2022</v>
      </c>
      <c r="B22" s="11">
        <v>250177</v>
      </c>
      <c r="C22" s="14">
        <v>4</v>
      </c>
      <c r="D22" s="11">
        <v>33938.639999999999</v>
      </c>
      <c r="E22" s="14">
        <v>10.62</v>
      </c>
      <c r="F22" s="11">
        <f t="shared" si="0"/>
        <v>284115.64</v>
      </c>
      <c r="G22" s="16">
        <f>1001246.02+361233.9</f>
        <v>1362479.92</v>
      </c>
      <c r="H22" s="6">
        <f>B22/F22</f>
        <v>0.8805463859715712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64"/>
  <sheetViews>
    <sheetView topLeftCell="A22" zoomScaleNormal="100" workbookViewId="0">
      <selection activeCell="E47" sqref="E47"/>
    </sheetView>
  </sheetViews>
  <sheetFormatPr defaultRowHeight="15" x14ac:dyDescent="0.25"/>
  <cols>
    <col min="3" max="3" width="13.140625" customWidth="1"/>
    <col min="4" max="4" width="14.7109375" customWidth="1"/>
    <col min="5" max="5" width="15.5703125" customWidth="1"/>
    <col min="20" max="20" width="13.28515625" customWidth="1"/>
    <col min="28" max="28" width="9.140625" customWidth="1"/>
  </cols>
  <sheetData>
    <row r="2" spans="2:5" ht="18.75" x14ac:dyDescent="0.3">
      <c r="B2" s="8" t="s">
        <v>27</v>
      </c>
    </row>
    <row r="3" spans="2:5" ht="45" customHeight="1" x14ac:dyDescent="0.25">
      <c r="B3" s="7" t="s">
        <v>7</v>
      </c>
      <c r="C3" s="10" t="s">
        <v>28</v>
      </c>
      <c r="D3" s="10" t="s">
        <v>29</v>
      </c>
      <c r="E3" s="10" t="s">
        <v>30</v>
      </c>
    </row>
    <row r="4" spans="2:5" x14ac:dyDescent="0.25">
      <c r="B4" s="25">
        <v>2003</v>
      </c>
      <c r="C4" s="11">
        <v>3395323</v>
      </c>
      <c r="D4" s="6">
        <v>0.89359999999999995</v>
      </c>
      <c r="E4" s="18">
        <v>0</v>
      </c>
    </row>
    <row r="5" spans="2:5" x14ac:dyDescent="0.25">
      <c r="B5" s="25">
        <v>2004</v>
      </c>
      <c r="C5" s="11">
        <v>3666011</v>
      </c>
      <c r="D5" s="6">
        <v>0.87109999999999999</v>
      </c>
      <c r="E5" s="18">
        <f>1-C5/$C$4</f>
        <v>-7.9723784747430582E-2</v>
      </c>
    </row>
    <row r="6" spans="2:5" x14ac:dyDescent="0.25">
      <c r="B6" s="25">
        <v>2005</v>
      </c>
      <c r="C6" s="11">
        <v>4328091</v>
      </c>
      <c r="D6" s="6">
        <v>0.86399999999999999</v>
      </c>
      <c r="E6" s="18">
        <f t="shared" ref="E6:E23" si="0">1-C6/$C$4</f>
        <v>-0.27472143298295926</v>
      </c>
    </row>
    <row r="7" spans="2:5" x14ac:dyDescent="0.25">
      <c r="B7" s="25">
        <v>2006</v>
      </c>
      <c r="C7" s="11">
        <v>4638616</v>
      </c>
      <c r="D7" s="6">
        <v>0.85799999999999998</v>
      </c>
      <c r="E7" s="18">
        <f t="shared" si="0"/>
        <v>-0.36617812208146328</v>
      </c>
    </row>
    <row r="8" spans="2:5" x14ac:dyDescent="0.25">
      <c r="B8" s="25">
        <v>2007</v>
      </c>
      <c r="C8" s="11">
        <v>2997674</v>
      </c>
      <c r="D8" s="6">
        <v>0.90380000000000005</v>
      </c>
      <c r="E8" s="18">
        <f t="shared" si="0"/>
        <v>0.11711669257976343</v>
      </c>
    </row>
    <row r="9" spans="2:5" x14ac:dyDescent="0.25">
      <c r="B9" s="25">
        <v>2008</v>
      </c>
      <c r="C9" s="11">
        <v>3296173</v>
      </c>
      <c r="D9" s="6">
        <v>0.91149999999999998</v>
      </c>
      <c r="E9" s="18">
        <f t="shared" si="0"/>
        <v>2.9201934543488184E-2</v>
      </c>
    </row>
    <row r="10" spans="2:5" x14ac:dyDescent="0.25">
      <c r="B10" s="25">
        <v>2009</v>
      </c>
      <c r="C10" s="11">
        <v>3317484</v>
      </c>
      <c r="D10" s="6">
        <v>0.91539999999999999</v>
      </c>
      <c r="E10" s="18">
        <f t="shared" si="0"/>
        <v>2.2925359384070365E-2</v>
      </c>
    </row>
    <row r="11" spans="2:5" x14ac:dyDescent="0.25">
      <c r="B11" s="25">
        <v>2010</v>
      </c>
      <c r="C11" s="11">
        <v>2181154</v>
      </c>
      <c r="D11" s="6">
        <v>0.93659999999999999</v>
      </c>
      <c r="E11" s="18">
        <f t="shared" si="0"/>
        <v>0.35760044037047434</v>
      </c>
    </row>
    <row r="12" spans="2:5" x14ac:dyDescent="0.25">
      <c r="B12" s="25">
        <v>2011</v>
      </c>
      <c r="C12" s="11">
        <v>1867206</v>
      </c>
      <c r="D12" s="6">
        <v>0.9456</v>
      </c>
      <c r="E12" s="18">
        <f t="shared" si="0"/>
        <v>0.45006528097621346</v>
      </c>
    </row>
    <row r="13" spans="2:5" x14ac:dyDescent="0.25">
      <c r="B13" s="25">
        <v>2012</v>
      </c>
      <c r="C13" s="11">
        <v>1163000</v>
      </c>
      <c r="D13" s="6">
        <v>0.95760000000000001</v>
      </c>
      <c r="E13" s="18">
        <f t="shared" si="0"/>
        <v>0.65746999622716307</v>
      </c>
    </row>
    <row r="14" spans="2:5" x14ac:dyDescent="0.25">
      <c r="B14" s="25">
        <v>2013</v>
      </c>
      <c r="C14" s="11">
        <v>1650000</v>
      </c>
      <c r="D14" s="6">
        <v>0.94840000000000002</v>
      </c>
      <c r="E14" s="18">
        <f t="shared" si="0"/>
        <v>0.5140373979147197</v>
      </c>
    </row>
    <row r="15" spans="2:5" x14ac:dyDescent="0.25">
      <c r="B15" s="25">
        <v>2014</v>
      </c>
      <c r="C15" s="11">
        <v>1416800</v>
      </c>
      <c r="D15" s="6">
        <v>0.95730000000000004</v>
      </c>
      <c r="E15" s="18">
        <f t="shared" si="0"/>
        <v>0.58272011234277277</v>
      </c>
    </row>
    <row r="16" spans="2:5" x14ac:dyDescent="0.25">
      <c r="B16" s="25">
        <v>2015</v>
      </c>
      <c r="C16" s="11">
        <v>1096450</v>
      </c>
      <c r="D16" s="6">
        <v>0.96499999999999997</v>
      </c>
      <c r="E16" s="18">
        <f t="shared" si="0"/>
        <v>0.67707048784460278</v>
      </c>
    </row>
    <row r="17" spans="2:20" x14ac:dyDescent="0.25">
      <c r="B17" s="25">
        <v>2016</v>
      </c>
      <c r="C17" s="11">
        <v>1158858</v>
      </c>
      <c r="D17" s="6">
        <v>0.90069999999999995</v>
      </c>
      <c r="E17" s="18">
        <f t="shared" si="0"/>
        <v>0.65868990961979168</v>
      </c>
    </row>
    <row r="18" spans="2:20" x14ac:dyDescent="0.25">
      <c r="B18" s="25">
        <v>2017</v>
      </c>
      <c r="C18" s="11">
        <v>1713600</v>
      </c>
      <c r="D18" s="6">
        <v>0.95109999999999995</v>
      </c>
      <c r="E18" s="18">
        <f t="shared" si="0"/>
        <v>0.49530574852525078</v>
      </c>
    </row>
    <row r="19" spans="2:20" x14ac:dyDescent="0.25">
      <c r="B19" s="25">
        <v>2018</v>
      </c>
      <c r="C19" s="11">
        <v>1266100</v>
      </c>
      <c r="D19" s="6">
        <v>0.95940000000000003</v>
      </c>
      <c r="E19" s="18">
        <f t="shared" si="0"/>
        <v>0.62710469666656166</v>
      </c>
    </row>
    <row r="20" spans="2:20" x14ac:dyDescent="0.25">
      <c r="B20" s="25">
        <v>2019</v>
      </c>
      <c r="C20" s="11">
        <v>796200</v>
      </c>
      <c r="D20" s="6">
        <v>0.97760000000000002</v>
      </c>
      <c r="E20" s="18">
        <f t="shared" si="0"/>
        <v>0.76550095528466655</v>
      </c>
    </row>
    <row r="21" spans="2:20" x14ac:dyDescent="0.25">
      <c r="B21" s="25">
        <v>2020</v>
      </c>
      <c r="C21" s="11">
        <v>967200</v>
      </c>
      <c r="D21" s="6">
        <v>0.96599999999999997</v>
      </c>
      <c r="E21" s="18">
        <f t="shared" si="0"/>
        <v>0.71513755834128301</v>
      </c>
    </row>
    <row r="22" spans="2:20" x14ac:dyDescent="0.25">
      <c r="B22" s="25">
        <v>2021</v>
      </c>
      <c r="C22" s="11">
        <v>914550</v>
      </c>
      <c r="D22" s="6"/>
      <c r="E22" s="18">
        <f t="shared" si="0"/>
        <v>0.73064418318964064</v>
      </c>
    </row>
    <row r="23" spans="2:20" x14ac:dyDescent="0.25">
      <c r="B23" s="25">
        <v>2022</v>
      </c>
      <c r="C23" s="11">
        <v>1444310</v>
      </c>
      <c r="D23" s="6"/>
      <c r="E23" s="18">
        <f t="shared" si="0"/>
        <v>0.57461779041345995</v>
      </c>
    </row>
    <row r="25" spans="2:20" ht="18.75" x14ac:dyDescent="0.3">
      <c r="B25" s="8" t="s">
        <v>31</v>
      </c>
    </row>
    <row r="26" spans="2:20" x14ac:dyDescent="0.25">
      <c r="B26" s="7" t="s">
        <v>7</v>
      </c>
      <c r="C26" s="10" t="s">
        <v>32</v>
      </c>
      <c r="D26" s="10" t="s">
        <v>33</v>
      </c>
      <c r="E26" s="10" t="s">
        <v>34</v>
      </c>
    </row>
    <row r="27" spans="2:20" x14ac:dyDescent="0.25">
      <c r="B27" s="25">
        <v>2002</v>
      </c>
      <c r="C27" s="11">
        <v>216805947</v>
      </c>
      <c r="D27" s="11">
        <v>0</v>
      </c>
      <c r="E27" s="11">
        <v>81136308</v>
      </c>
    </row>
    <row r="28" spans="2:20" x14ac:dyDescent="0.25">
      <c r="B28" s="25">
        <v>2003</v>
      </c>
      <c r="C28" s="11">
        <v>250131038</v>
      </c>
      <c r="D28" s="11">
        <v>0</v>
      </c>
      <c r="E28" s="11">
        <v>104871706</v>
      </c>
      <c r="F28" s="18">
        <f>1-C28/$C$27</f>
        <v>-0.15370930300173002</v>
      </c>
      <c r="T28" s="21"/>
    </row>
    <row r="29" spans="2:20" x14ac:dyDescent="0.25">
      <c r="B29" s="25">
        <v>2004</v>
      </c>
      <c r="C29" s="11">
        <v>205594408</v>
      </c>
      <c r="D29" s="11">
        <v>0</v>
      </c>
      <c r="E29" s="11">
        <v>87534460</v>
      </c>
      <c r="F29" s="18">
        <f t="shared" ref="F29:F42" si="1">1-C29/$C$27</f>
        <v>5.1712322263927524E-2</v>
      </c>
      <c r="T29" s="21"/>
    </row>
    <row r="30" spans="2:20" x14ac:dyDescent="0.25">
      <c r="B30" s="25">
        <v>2005</v>
      </c>
      <c r="C30" s="11">
        <v>234628186</v>
      </c>
      <c r="D30" s="11">
        <v>13080450</v>
      </c>
      <c r="E30" s="11">
        <v>81805472</v>
      </c>
      <c r="F30" s="18">
        <f t="shared" si="1"/>
        <v>-8.2203644533791254E-2</v>
      </c>
      <c r="T30" s="21"/>
    </row>
    <row r="31" spans="2:20" x14ac:dyDescent="0.25">
      <c r="B31" s="25">
        <v>2006</v>
      </c>
      <c r="C31" s="11">
        <v>207361371</v>
      </c>
      <c r="D31" s="11">
        <v>12151260</v>
      </c>
      <c r="E31" s="11">
        <v>96118308</v>
      </c>
      <c r="F31" s="18">
        <f t="shared" si="1"/>
        <v>4.3562347484868535E-2</v>
      </c>
      <c r="T31" s="21"/>
    </row>
    <row r="32" spans="2:20" x14ac:dyDescent="0.25">
      <c r="B32" s="25">
        <v>2007</v>
      </c>
      <c r="C32" s="11">
        <v>182607078</v>
      </c>
      <c r="D32" s="11">
        <v>10055700</v>
      </c>
      <c r="E32" s="11">
        <v>93740811</v>
      </c>
      <c r="F32" s="18">
        <f t="shared" si="1"/>
        <v>0.15773953377764127</v>
      </c>
      <c r="T32" s="21"/>
    </row>
    <row r="33" spans="2:20" x14ac:dyDescent="0.25">
      <c r="B33" s="25">
        <v>2008</v>
      </c>
      <c r="C33" s="11">
        <v>165236363</v>
      </c>
      <c r="D33" s="11">
        <v>8246500</v>
      </c>
      <c r="E33" s="11">
        <v>86976219</v>
      </c>
      <c r="F33" s="18">
        <f t="shared" si="1"/>
        <v>0.23786056016258628</v>
      </c>
      <c r="T33" s="21"/>
    </row>
    <row r="34" spans="2:20" x14ac:dyDescent="0.25">
      <c r="B34" s="25">
        <v>2009</v>
      </c>
      <c r="C34" s="11">
        <v>173699054</v>
      </c>
      <c r="D34" s="11">
        <v>6651660</v>
      </c>
      <c r="E34" s="11">
        <v>78855666</v>
      </c>
      <c r="F34" s="18">
        <f t="shared" si="1"/>
        <v>0.19882707829965574</v>
      </c>
    </row>
    <row r="35" spans="2:20" x14ac:dyDescent="0.25">
      <c r="B35" s="25">
        <v>2010</v>
      </c>
      <c r="C35" s="11">
        <v>160087123</v>
      </c>
      <c r="D35" s="11">
        <v>4958580</v>
      </c>
      <c r="E35" s="11">
        <v>68143258</v>
      </c>
      <c r="F35" s="18">
        <f t="shared" si="1"/>
        <v>0.26161101567938083</v>
      </c>
    </row>
    <row r="36" spans="2:20" x14ac:dyDescent="0.25">
      <c r="B36" s="25">
        <v>2011</v>
      </c>
      <c r="C36" s="11">
        <v>170156275</v>
      </c>
      <c r="D36" s="11">
        <v>4356230</v>
      </c>
      <c r="E36" s="11">
        <v>78407319</v>
      </c>
      <c r="F36" s="18">
        <f t="shared" si="1"/>
        <v>0.21516786160851942</v>
      </c>
    </row>
    <row r="37" spans="2:20" x14ac:dyDescent="0.25">
      <c r="B37" s="25">
        <v>2012</v>
      </c>
      <c r="C37" s="11">
        <v>153917302</v>
      </c>
      <c r="D37" s="11">
        <v>4052520</v>
      </c>
      <c r="E37" s="11">
        <v>83229676</v>
      </c>
      <c r="F37" s="18">
        <f t="shared" si="1"/>
        <v>0.29006881900707271</v>
      </c>
    </row>
    <row r="38" spans="2:20" x14ac:dyDescent="0.25">
      <c r="B38" s="25">
        <v>2013</v>
      </c>
      <c r="C38" s="11">
        <v>157626626</v>
      </c>
      <c r="D38" s="11">
        <v>4899300</v>
      </c>
      <c r="E38" s="11">
        <v>86020170</v>
      </c>
      <c r="F38" s="18">
        <f t="shared" si="1"/>
        <v>0.27295986027541952</v>
      </c>
    </row>
    <row r="39" spans="2:20" x14ac:dyDescent="0.25">
      <c r="B39" s="25">
        <v>2014</v>
      </c>
      <c r="C39" s="11">
        <v>151186159</v>
      </c>
      <c r="D39" s="11">
        <v>4096770</v>
      </c>
      <c r="E39" s="11">
        <v>86931604</v>
      </c>
      <c r="F39" s="18">
        <f t="shared" si="1"/>
        <v>0.30266599651899773</v>
      </c>
    </row>
    <row r="40" spans="2:20" x14ac:dyDescent="0.25">
      <c r="B40" s="25">
        <v>2015</v>
      </c>
      <c r="C40" s="11">
        <v>133997884</v>
      </c>
      <c r="D40" s="11">
        <v>3748870</v>
      </c>
      <c r="E40" s="11">
        <v>102520465</v>
      </c>
      <c r="F40" s="18">
        <f t="shared" si="1"/>
        <v>0.38194553307156287</v>
      </c>
    </row>
    <row r="41" spans="2:20" ht="15" customHeight="1" x14ac:dyDescent="0.25">
      <c r="B41" s="25">
        <v>2016</v>
      </c>
      <c r="C41" s="11">
        <v>147172095</v>
      </c>
      <c r="D41" s="11">
        <v>3196470</v>
      </c>
      <c r="E41" s="11">
        <v>86989081</v>
      </c>
      <c r="F41" s="18">
        <f t="shared" si="1"/>
        <v>0.32118054400048357</v>
      </c>
    </row>
    <row r="42" spans="2:20" x14ac:dyDescent="0.25">
      <c r="B42" s="25">
        <v>2017</v>
      </c>
      <c r="C42" s="11">
        <v>130848248</v>
      </c>
      <c r="D42" s="11">
        <v>8181130</v>
      </c>
      <c r="E42" s="11">
        <v>88261496</v>
      </c>
      <c r="F42" s="18">
        <f t="shared" si="1"/>
        <v>0.39647297590042585</v>
      </c>
    </row>
    <row r="43" spans="2:20" x14ac:dyDescent="0.25">
      <c r="B43" s="25">
        <v>2018</v>
      </c>
      <c r="C43" s="11">
        <v>137156045</v>
      </c>
      <c r="D43" s="11">
        <v>1959550</v>
      </c>
      <c r="E43" s="11">
        <v>94384000</v>
      </c>
      <c r="F43" s="18">
        <f>1-C43/$C$27</f>
        <v>0.36737876936558389</v>
      </c>
    </row>
    <row r="44" spans="2:20" x14ac:dyDescent="0.25">
      <c r="B44" s="25">
        <v>2019</v>
      </c>
      <c r="C44" s="11">
        <v>140636734</v>
      </c>
      <c r="D44" s="11">
        <v>2983280</v>
      </c>
      <c r="E44" s="11">
        <v>80684287</v>
      </c>
      <c r="F44" s="18">
        <f>1-C44/$C$27</f>
        <v>0.35132437118987336</v>
      </c>
    </row>
    <row r="45" spans="2:20" x14ac:dyDescent="0.25">
      <c r="B45" s="25">
        <v>2020</v>
      </c>
      <c r="C45" s="11">
        <v>114231835</v>
      </c>
      <c r="D45" s="11">
        <v>1262500</v>
      </c>
      <c r="E45" s="11">
        <v>87733471</v>
      </c>
      <c r="F45" s="18">
        <f>1-C45/$C$27</f>
        <v>0.47311484495395317</v>
      </c>
    </row>
    <row r="46" spans="2:20" ht="15" customHeight="1" x14ac:dyDescent="0.25">
      <c r="B46" s="25">
        <v>2021</v>
      </c>
      <c r="C46" s="11">
        <v>127271411</v>
      </c>
      <c r="E46" s="11">
        <v>104222915</v>
      </c>
      <c r="F46" s="18">
        <f>1-C46/$C$27</f>
        <v>0.41297084899613012</v>
      </c>
    </row>
    <row r="47" spans="2:20" x14ac:dyDescent="0.25">
      <c r="B47" s="25">
        <v>2022</v>
      </c>
      <c r="C47" s="10"/>
    </row>
    <row r="48" spans="2:20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69"/>
  <sheetViews>
    <sheetView workbookViewId="0">
      <selection activeCell="H17" sqref="H17"/>
    </sheetView>
  </sheetViews>
  <sheetFormatPr defaultRowHeight="15" x14ac:dyDescent="0.25"/>
  <cols>
    <col min="3" max="3" width="22" bestFit="1" customWidth="1"/>
    <col min="15" max="15" width="9.85546875" bestFit="1" customWidth="1"/>
  </cols>
  <sheetData>
    <row r="2" spans="2:15" ht="18.75" x14ac:dyDescent="0.3">
      <c r="B2" s="8" t="s">
        <v>35</v>
      </c>
      <c r="N2" t="s">
        <v>42</v>
      </c>
      <c r="O2" t="s">
        <v>43</v>
      </c>
    </row>
    <row r="3" spans="2:15" x14ac:dyDescent="0.25">
      <c r="B3" s="7" t="s">
        <v>7</v>
      </c>
      <c r="C3" s="7" t="s">
        <v>36</v>
      </c>
      <c r="D3" s="7" t="s">
        <v>37</v>
      </c>
      <c r="M3" s="24">
        <v>43070</v>
      </c>
    </row>
    <row r="4" spans="2:15" x14ac:dyDescent="0.25">
      <c r="B4" s="9">
        <v>2002</v>
      </c>
      <c r="C4" s="11">
        <v>2707000</v>
      </c>
      <c r="D4" s="12">
        <f>C4*12000/1000000</f>
        <v>32484</v>
      </c>
      <c r="E4" t="s">
        <v>38</v>
      </c>
      <c r="M4" s="24">
        <v>43101</v>
      </c>
    </row>
    <row r="5" spans="2:15" x14ac:dyDescent="0.25">
      <c r="B5" s="25">
        <v>2003</v>
      </c>
      <c r="C5" s="11">
        <v>2998659</v>
      </c>
      <c r="D5" s="12">
        <f t="shared" ref="D5:D21" si="0">C5*12000/1000000</f>
        <v>35983.908000000003</v>
      </c>
      <c r="E5" t="s">
        <v>39</v>
      </c>
      <c r="M5" s="24">
        <v>43132</v>
      </c>
    </row>
    <row r="6" spans="2:15" x14ac:dyDescent="0.25">
      <c r="B6" s="25">
        <v>2004</v>
      </c>
      <c r="C6" s="11">
        <v>3235163</v>
      </c>
      <c r="D6" s="12">
        <f t="shared" si="0"/>
        <v>38821.955999999998</v>
      </c>
      <c r="M6" s="24">
        <v>43160</v>
      </c>
    </row>
    <row r="7" spans="2:15" x14ac:dyDescent="0.25">
      <c r="B7" s="25">
        <v>2005</v>
      </c>
      <c r="C7" s="11">
        <v>3417548</v>
      </c>
      <c r="D7" s="12">
        <f t="shared" si="0"/>
        <v>41010.576000000001</v>
      </c>
      <c r="M7" s="24">
        <v>43191</v>
      </c>
    </row>
    <row r="8" spans="2:15" x14ac:dyDescent="0.25">
      <c r="B8" s="25">
        <v>2006</v>
      </c>
      <c r="C8" s="11">
        <v>3641156</v>
      </c>
      <c r="D8" s="12">
        <f t="shared" si="0"/>
        <v>43693.872000000003</v>
      </c>
      <c r="M8" s="24">
        <v>43221</v>
      </c>
    </row>
    <row r="9" spans="2:15" x14ac:dyDescent="0.25">
      <c r="B9" s="25">
        <v>2007</v>
      </c>
      <c r="C9" s="11">
        <v>4446186</v>
      </c>
      <c r="D9" s="12">
        <f t="shared" si="0"/>
        <v>53354.232000000004</v>
      </c>
      <c r="M9" s="24">
        <v>43252</v>
      </c>
    </row>
    <row r="10" spans="2:15" x14ac:dyDescent="0.25">
      <c r="B10" s="25">
        <v>2008</v>
      </c>
      <c r="C10" s="11">
        <v>4110193</v>
      </c>
      <c r="D10" s="12">
        <f t="shared" si="0"/>
        <v>49322.315999999999</v>
      </c>
      <c r="M10" s="24">
        <v>43282</v>
      </c>
      <c r="N10">
        <v>455687</v>
      </c>
    </row>
    <row r="11" spans="2:15" x14ac:dyDescent="0.25">
      <c r="B11" s="25">
        <v>2009</v>
      </c>
      <c r="C11" s="11">
        <v>3787518</v>
      </c>
      <c r="D11" s="12">
        <f t="shared" si="0"/>
        <v>45450.216</v>
      </c>
      <c r="M11" s="24">
        <v>43313</v>
      </c>
      <c r="N11">
        <v>454935.1</v>
      </c>
      <c r="O11">
        <v>2196.44</v>
      </c>
    </row>
    <row r="12" spans="2:15" x14ac:dyDescent="0.25">
      <c r="B12" s="25">
        <v>2010</v>
      </c>
      <c r="C12" s="11">
        <v>3750000</v>
      </c>
      <c r="D12" s="12">
        <f t="shared" si="0"/>
        <v>45000</v>
      </c>
      <c r="E12" t="s">
        <v>40</v>
      </c>
      <c r="M12" s="24">
        <v>43344</v>
      </c>
      <c r="N12">
        <v>456439.8</v>
      </c>
      <c r="O12">
        <v>2058.7800000000002</v>
      </c>
    </row>
    <row r="13" spans="2:15" x14ac:dyDescent="0.25">
      <c r="B13" s="25">
        <v>2011</v>
      </c>
      <c r="C13" s="11">
        <v>3750000</v>
      </c>
      <c r="D13" s="12">
        <f t="shared" si="0"/>
        <v>45000</v>
      </c>
      <c r="E13" t="s">
        <v>40</v>
      </c>
      <c r="M13" s="24">
        <v>43374</v>
      </c>
      <c r="N13">
        <v>171998.2</v>
      </c>
      <c r="O13">
        <v>912.16</v>
      </c>
    </row>
    <row r="14" spans="2:15" x14ac:dyDescent="0.25">
      <c r="B14" s="25">
        <v>2012</v>
      </c>
      <c r="C14" s="11">
        <v>3750000</v>
      </c>
      <c r="D14" s="12">
        <f t="shared" si="0"/>
        <v>45000</v>
      </c>
      <c r="E14" t="s">
        <v>40</v>
      </c>
      <c r="M14" s="24">
        <v>43405</v>
      </c>
      <c r="N14">
        <v>90635.27</v>
      </c>
      <c r="O14">
        <v>365.29</v>
      </c>
    </row>
    <row r="15" spans="2:15" x14ac:dyDescent="0.25">
      <c r="B15" s="25">
        <v>2013</v>
      </c>
      <c r="C15" s="11">
        <v>3750000</v>
      </c>
      <c r="D15" s="12">
        <f t="shared" si="0"/>
        <v>45000</v>
      </c>
      <c r="E15" t="s">
        <v>40</v>
      </c>
      <c r="M15" s="24">
        <v>43435</v>
      </c>
      <c r="N15">
        <v>86338.61</v>
      </c>
      <c r="O15">
        <v>262.77</v>
      </c>
    </row>
    <row r="16" spans="2:15" x14ac:dyDescent="0.25">
      <c r="B16" s="25">
        <v>2014</v>
      </c>
      <c r="C16" s="11">
        <v>3750000</v>
      </c>
      <c r="D16" s="12">
        <f t="shared" si="0"/>
        <v>45000</v>
      </c>
      <c r="E16" t="s">
        <v>40</v>
      </c>
      <c r="M16" s="24">
        <v>43466</v>
      </c>
      <c r="N16">
        <v>74180.95</v>
      </c>
      <c r="O16">
        <v>249.7</v>
      </c>
    </row>
    <row r="17" spans="2:15" x14ac:dyDescent="0.25">
      <c r="B17" s="25">
        <v>2015</v>
      </c>
      <c r="C17" s="11">
        <v>3750000</v>
      </c>
      <c r="D17" s="12">
        <f t="shared" si="0"/>
        <v>45000</v>
      </c>
      <c r="E17" t="s">
        <v>40</v>
      </c>
      <c r="M17" s="24">
        <v>43497</v>
      </c>
      <c r="N17">
        <v>71944.600000000006</v>
      </c>
      <c r="O17">
        <v>290.10000000000002</v>
      </c>
    </row>
    <row r="18" spans="2:15" x14ac:dyDescent="0.25">
      <c r="B18" s="25">
        <v>2016</v>
      </c>
      <c r="C18" s="11">
        <v>4041900</v>
      </c>
      <c r="D18" s="12">
        <f t="shared" si="0"/>
        <v>48502.8</v>
      </c>
      <c r="E18" t="s">
        <v>41</v>
      </c>
      <c r="M18" s="24">
        <v>43525</v>
      </c>
      <c r="N18">
        <v>86264.16</v>
      </c>
      <c r="O18">
        <v>278.79000000000002</v>
      </c>
    </row>
    <row r="19" spans="2:15" x14ac:dyDescent="0.25">
      <c r="B19" s="25">
        <v>2017</v>
      </c>
      <c r="C19" s="11">
        <v>3492200</v>
      </c>
      <c r="D19" s="12">
        <f t="shared" si="0"/>
        <v>41906.400000000001</v>
      </c>
      <c r="M19" s="24">
        <v>43556</v>
      </c>
      <c r="N19">
        <v>149936</v>
      </c>
      <c r="O19">
        <v>467.1</v>
      </c>
    </row>
    <row r="20" spans="2:15" x14ac:dyDescent="0.25">
      <c r="B20" s="25">
        <v>2018</v>
      </c>
      <c r="C20" s="11">
        <v>3672000</v>
      </c>
      <c r="D20" s="12">
        <f t="shared" si="0"/>
        <v>44064</v>
      </c>
      <c r="M20" s="24">
        <v>43586</v>
      </c>
      <c r="N20">
        <v>411230.9</v>
      </c>
      <c r="O20">
        <v>1704.07</v>
      </c>
    </row>
    <row r="21" spans="2:15" x14ac:dyDescent="0.25">
      <c r="B21" s="25">
        <v>2019</v>
      </c>
      <c r="C21" s="11">
        <v>3089598</v>
      </c>
      <c r="D21" s="12">
        <f t="shared" si="0"/>
        <v>37075.175999999999</v>
      </c>
      <c r="M21" s="24">
        <v>43617</v>
      </c>
      <c r="N21">
        <v>580007</v>
      </c>
      <c r="O21">
        <v>2061.6999999999998</v>
      </c>
    </row>
    <row r="22" spans="2:15" x14ac:dyDescent="0.25">
      <c r="B22" s="25">
        <v>2020</v>
      </c>
      <c r="M22" s="24">
        <v>43647</v>
      </c>
    </row>
    <row r="23" spans="2:15" x14ac:dyDescent="0.25">
      <c r="B23" s="25">
        <v>2021</v>
      </c>
      <c r="M23" s="24">
        <v>43678</v>
      </c>
    </row>
    <row r="24" spans="2:15" x14ac:dyDescent="0.25">
      <c r="B24" s="25">
        <v>2022</v>
      </c>
      <c r="C24" s="11">
        <v>3402456</v>
      </c>
      <c r="D24" s="12">
        <f t="shared" ref="D24" si="1">C24*12000/1000000</f>
        <v>40829.472000000002</v>
      </c>
      <c r="M24" s="24">
        <v>43709</v>
      </c>
    </row>
    <row r="25" spans="2:15" x14ac:dyDescent="0.25">
      <c r="M25" s="24">
        <v>43739</v>
      </c>
    </row>
    <row r="26" spans="2:15" x14ac:dyDescent="0.25">
      <c r="M26" s="24">
        <v>43770</v>
      </c>
    </row>
    <row r="27" spans="2:15" x14ac:dyDescent="0.25">
      <c r="M27" s="24">
        <v>43800</v>
      </c>
    </row>
    <row r="28" spans="2:15" x14ac:dyDescent="0.25">
      <c r="M28" s="24">
        <v>43831</v>
      </c>
    </row>
    <row r="29" spans="2:15" x14ac:dyDescent="0.25">
      <c r="M29" s="24">
        <v>43862</v>
      </c>
    </row>
    <row r="30" spans="2:15" x14ac:dyDescent="0.25">
      <c r="M30" s="24">
        <v>43891</v>
      </c>
    </row>
    <row r="31" spans="2:15" x14ac:dyDescent="0.25">
      <c r="M31" s="24">
        <v>43922</v>
      </c>
    </row>
    <row r="32" spans="2:15" x14ac:dyDescent="0.25">
      <c r="M32" s="24">
        <v>43952</v>
      </c>
    </row>
    <row r="33" spans="13:14" x14ac:dyDescent="0.25">
      <c r="M33" s="24">
        <v>43983</v>
      </c>
    </row>
    <row r="34" spans="13:14" x14ac:dyDescent="0.25">
      <c r="M34" s="24">
        <v>44013</v>
      </c>
    </row>
    <row r="35" spans="13:14" x14ac:dyDescent="0.25">
      <c r="M35" s="24">
        <v>44044</v>
      </c>
    </row>
    <row r="36" spans="13:14" x14ac:dyDescent="0.25">
      <c r="M36" s="24">
        <v>44075</v>
      </c>
    </row>
    <row r="37" spans="13:14" x14ac:dyDescent="0.25">
      <c r="M37" s="24">
        <v>44105</v>
      </c>
    </row>
    <row r="38" spans="13:14" x14ac:dyDescent="0.25">
      <c r="M38" s="24">
        <v>44136</v>
      </c>
    </row>
    <row r="39" spans="13:14" x14ac:dyDescent="0.25">
      <c r="M39" s="24">
        <v>44166</v>
      </c>
    </row>
    <row r="40" spans="13:14" x14ac:dyDescent="0.25">
      <c r="M40" s="24">
        <v>44197</v>
      </c>
    </row>
    <row r="41" spans="13:14" x14ac:dyDescent="0.25">
      <c r="M41" s="24">
        <v>44228</v>
      </c>
    </row>
    <row r="42" spans="13:14" x14ac:dyDescent="0.25">
      <c r="M42" s="24">
        <v>44256</v>
      </c>
    </row>
    <row r="43" spans="13:14" x14ac:dyDescent="0.25">
      <c r="M43" s="24">
        <v>44287</v>
      </c>
      <c r="N43">
        <v>90534</v>
      </c>
    </row>
    <row r="44" spans="13:14" x14ac:dyDescent="0.25">
      <c r="M44" s="24">
        <v>44317</v>
      </c>
      <c r="N44">
        <f>176815+130084+41</f>
        <v>306940</v>
      </c>
    </row>
    <row r="45" spans="13:14" x14ac:dyDescent="0.25">
      <c r="M45" s="24">
        <v>44348</v>
      </c>
      <c r="N45">
        <f>263153+220056+0</f>
        <v>483209</v>
      </c>
    </row>
    <row r="46" spans="13:14" x14ac:dyDescent="0.25">
      <c r="M46" s="24">
        <v>44378</v>
      </c>
      <c r="N46">
        <f>356823+155209+0</f>
        <v>512032</v>
      </c>
    </row>
    <row r="47" spans="13:14" x14ac:dyDescent="0.25">
      <c r="M47" s="24">
        <v>44409</v>
      </c>
      <c r="N47">
        <f>359630+110932+517721</f>
        <v>988283</v>
      </c>
    </row>
    <row r="48" spans="13:14" x14ac:dyDescent="0.25">
      <c r="M48" s="24">
        <v>44440</v>
      </c>
      <c r="N48">
        <f>244457+134209+280185</f>
        <v>658851</v>
      </c>
    </row>
    <row r="49" spans="13:14" x14ac:dyDescent="0.25">
      <c r="M49" s="24">
        <v>44470</v>
      </c>
      <c r="N49">
        <f>1137+45974+31700+48794</f>
        <v>127605</v>
      </c>
    </row>
    <row r="50" spans="13:14" x14ac:dyDescent="0.25">
      <c r="M50" s="24">
        <v>44501</v>
      </c>
      <c r="N50">
        <v>47780</v>
      </c>
    </row>
    <row r="51" spans="13:14" x14ac:dyDescent="0.25">
      <c r="M51" s="24">
        <v>44531</v>
      </c>
      <c r="N51">
        <v>56646</v>
      </c>
    </row>
    <row r="52" spans="13:14" x14ac:dyDescent="0.25">
      <c r="M52" s="24">
        <v>44562</v>
      </c>
      <c r="N52">
        <v>45454</v>
      </c>
    </row>
    <row r="53" spans="13:14" x14ac:dyDescent="0.25">
      <c r="M53" s="24">
        <v>44593</v>
      </c>
      <c r="N53">
        <v>47978</v>
      </c>
    </row>
    <row r="54" spans="13:14" x14ac:dyDescent="0.25">
      <c r="M54" s="24">
        <v>44621</v>
      </c>
      <c r="N54">
        <v>54836</v>
      </c>
    </row>
    <row r="55" spans="13:14" x14ac:dyDescent="0.25">
      <c r="M55" s="24">
        <v>44652</v>
      </c>
      <c r="N55">
        <v>59397</v>
      </c>
    </row>
    <row r="56" spans="13:14" x14ac:dyDescent="0.25">
      <c r="M56" s="24">
        <v>44682</v>
      </c>
      <c r="N56">
        <f>48790+69305+109422+20961</f>
        <v>248478</v>
      </c>
    </row>
    <row r="57" spans="13:14" x14ac:dyDescent="0.25">
      <c r="M57" s="24">
        <v>44713</v>
      </c>
      <c r="N57">
        <f>260810+133065+161241</f>
        <v>555116</v>
      </c>
    </row>
    <row r="58" spans="13:14" x14ac:dyDescent="0.25">
      <c r="M58" s="24">
        <v>44743</v>
      </c>
    </row>
    <row r="59" spans="13:14" x14ac:dyDescent="0.25">
      <c r="M59" s="24">
        <v>44774</v>
      </c>
    </row>
    <row r="60" spans="13:14" x14ac:dyDescent="0.25">
      <c r="M60" s="24">
        <v>44805</v>
      </c>
    </row>
    <row r="61" spans="13:14" x14ac:dyDescent="0.25">
      <c r="M61" s="24">
        <v>44835</v>
      </c>
    </row>
    <row r="62" spans="13:14" x14ac:dyDescent="0.25">
      <c r="M62" s="24">
        <v>44866</v>
      </c>
    </row>
    <row r="63" spans="13:14" x14ac:dyDescent="0.25">
      <c r="M63" s="24">
        <v>44896</v>
      </c>
    </row>
    <row r="64" spans="13:14" x14ac:dyDescent="0.25">
      <c r="M64" s="24">
        <v>44927</v>
      </c>
    </row>
    <row r="65" spans="13:13" x14ac:dyDescent="0.25">
      <c r="M65" s="24">
        <v>44958</v>
      </c>
    </row>
    <row r="66" spans="13:13" x14ac:dyDescent="0.25">
      <c r="M66" s="24">
        <v>44986</v>
      </c>
    </row>
    <row r="67" spans="13:13" x14ac:dyDescent="0.25">
      <c r="M67" s="24">
        <v>45017</v>
      </c>
    </row>
    <row r="68" spans="13:13" x14ac:dyDescent="0.25">
      <c r="M68" s="24">
        <v>45047</v>
      </c>
    </row>
    <row r="69" spans="13:13" x14ac:dyDescent="0.25">
      <c r="M69" s="24">
        <v>45078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4"/>
  <sheetViews>
    <sheetView workbookViewId="0">
      <selection activeCell="F22" sqref="F22"/>
    </sheetView>
  </sheetViews>
  <sheetFormatPr defaultRowHeight="15" x14ac:dyDescent="0.25"/>
  <cols>
    <col min="3" max="3" width="25.85546875" bestFit="1" customWidth="1"/>
    <col min="4" max="4" width="16.42578125" customWidth="1"/>
    <col min="8" max="10" width="14.28515625" bestFit="1" customWidth="1"/>
  </cols>
  <sheetData>
    <row r="2" spans="2:10" ht="18.75" x14ac:dyDescent="0.3">
      <c r="B2" s="8" t="s">
        <v>44</v>
      </c>
    </row>
    <row r="3" spans="2:10" ht="45" x14ac:dyDescent="0.25">
      <c r="B3" s="13" t="s">
        <v>7</v>
      </c>
      <c r="C3" s="13" t="s">
        <v>45</v>
      </c>
      <c r="D3" s="25" t="s">
        <v>46</v>
      </c>
    </row>
    <row r="4" spans="2:10" x14ac:dyDescent="0.25">
      <c r="B4" s="9">
        <v>2002</v>
      </c>
      <c r="C4" s="11">
        <v>63763237</v>
      </c>
      <c r="D4" s="18">
        <v>0</v>
      </c>
    </row>
    <row r="5" spans="2:10" x14ac:dyDescent="0.25">
      <c r="B5" s="25">
        <v>2003</v>
      </c>
      <c r="C5" s="11">
        <v>63949781</v>
      </c>
      <c r="D5" s="18">
        <f>1-C5/$C$4</f>
        <v>-2.9255729284884957E-3</v>
      </c>
    </row>
    <row r="6" spans="2:10" x14ac:dyDescent="0.25">
      <c r="B6" s="25">
        <v>2004</v>
      </c>
      <c r="C6" s="11">
        <v>64981388</v>
      </c>
      <c r="D6" s="18">
        <f>1-C6/$C$4</f>
        <v>-1.9104284181808318E-2</v>
      </c>
    </row>
    <row r="7" spans="2:10" x14ac:dyDescent="0.25">
      <c r="B7" s="25">
        <v>2005</v>
      </c>
      <c r="C7" s="11">
        <v>63823008</v>
      </c>
      <c r="D7" s="18">
        <f t="shared" ref="D7:D19" si="0">1-C7/$C$4</f>
        <v>-9.3738967486856062E-4</v>
      </c>
      <c r="H7" s="19"/>
      <c r="I7" s="19"/>
      <c r="J7" s="19"/>
    </row>
    <row r="8" spans="2:10" x14ac:dyDescent="0.25">
      <c r="B8" s="25">
        <v>2006</v>
      </c>
      <c r="C8" s="11">
        <v>63823008</v>
      </c>
      <c r="D8" s="18">
        <f t="shared" si="0"/>
        <v>-9.3738967486856062E-4</v>
      </c>
    </row>
    <row r="9" spans="2:10" x14ac:dyDescent="0.25">
      <c r="B9" s="25">
        <v>2007</v>
      </c>
      <c r="C9" s="11">
        <v>63265700</v>
      </c>
      <c r="D9" s="18">
        <f t="shared" si="0"/>
        <v>7.8028817765321001E-3</v>
      </c>
    </row>
    <row r="10" spans="2:10" x14ac:dyDescent="0.25">
      <c r="B10" s="25">
        <v>2008</v>
      </c>
      <c r="C10" s="11">
        <v>62452341</v>
      </c>
      <c r="D10" s="18">
        <f t="shared" si="0"/>
        <v>2.0558805695513827E-2</v>
      </c>
    </row>
    <row r="11" spans="2:10" x14ac:dyDescent="0.25">
      <c r="B11" s="25">
        <v>2009</v>
      </c>
      <c r="C11" s="11">
        <v>58471288</v>
      </c>
      <c r="D11" s="18">
        <f t="shared" si="0"/>
        <v>8.2993731952472838E-2</v>
      </c>
    </row>
    <row r="12" spans="2:10" x14ac:dyDescent="0.25">
      <c r="B12" s="25">
        <v>2010</v>
      </c>
      <c r="C12" s="11">
        <v>54795127</v>
      </c>
      <c r="D12" s="18">
        <f t="shared" si="0"/>
        <v>0.14064703145481772</v>
      </c>
    </row>
    <row r="13" spans="2:10" x14ac:dyDescent="0.25">
      <c r="B13" s="25">
        <v>2011</v>
      </c>
      <c r="C13" s="11">
        <v>51995589</v>
      </c>
      <c r="D13" s="18">
        <f t="shared" si="0"/>
        <v>0.18455223658108821</v>
      </c>
      <c r="H13" s="11"/>
      <c r="I13" s="11"/>
      <c r="J13" s="11"/>
    </row>
    <row r="14" spans="2:10" x14ac:dyDescent="0.25">
      <c r="B14" s="25">
        <v>2012</v>
      </c>
      <c r="C14" s="11">
        <v>50945323</v>
      </c>
      <c r="D14" s="18">
        <f t="shared" si="0"/>
        <v>0.20102357726914022</v>
      </c>
      <c r="H14" s="11"/>
      <c r="I14" s="11"/>
      <c r="J14" s="11"/>
    </row>
    <row r="15" spans="2:10" x14ac:dyDescent="0.25">
      <c r="B15" s="25">
        <v>2013</v>
      </c>
      <c r="C15" s="11">
        <v>50476543</v>
      </c>
      <c r="D15" s="18">
        <f t="shared" si="0"/>
        <v>0.20837546249416417</v>
      </c>
    </row>
    <row r="16" spans="2:10" x14ac:dyDescent="0.25">
      <c r="B16" s="25">
        <v>2014</v>
      </c>
      <c r="C16" s="11">
        <v>50326614</v>
      </c>
      <c r="D16" s="18">
        <f t="shared" si="0"/>
        <v>0.21072680171491298</v>
      </c>
    </row>
    <row r="17" spans="2:4" x14ac:dyDescent="0.25">
      <c r="B17" s="25">
        <v>2015</v>
      </c>
      <c r="C17" s="11">
        <v>49591439</v>
      </c>
      <c r="D17" s="18">
        <f t="shared" si="0"/>
        <v>0.22225656454674658</v>
      </c>
    </row>
    <row r="18" spans="2:4" x14ac:dyDescent="0.25">
      <c r="B18" s="25">
        <v>2016</v>
      </c>
      <c r="C18" s="11">
        <v>49167003</v>
      </c>
      <c r="D18" s="18">
        <f t="shared" si="0"/>
        <v>0.22891300201713416</v>
      </c>
    </row>
    <row r="19" spans="2:4" x14ac:dyDescent="0.25">
      <c r="B19" s="25">
        <v>2017</v>
      </c>
      <c r="C19" s="11">
        <v>48290921</v>
      </c>
      <c r="D19" s="18">
        <f t="shared" si="0"/>
        <v>0.24265261188041631</v>
      </c>
    </row>
    <row r="20" spans="2:4" x14ac:dyDescent="0.25">
      <c r="B20" s="25">
        <v>2018</v>
      </c>
      <c r="C20" s="11">
        <v>47582030</v>
      </c>
      <c r="D20" s="18">
        <f>1-C20/$C$4</f>
        <v>0.25377016226450355</v>
      </c>
    </row>
    <row r="21" spans="2:4" x14ac:dyDescent="0.25">
      <c r="B21" s="25">
        <v>2019</v>
      </c>
      <c r="C21" s="11">
        <v>47194789.399999999</v>
      </c>
      <c r="D21" s="18">
        <f>1-C21/$C$4</f>
        <v>0.25984326360344601</v>
      </c>
    </row>
    <row r="22" spans="2:4" x14ac:dyDescent="0.25">
      <c r="B22" s="25">
        <v>2020</v>
      </c>
      <c r="C22" s="11">
        <v>44624933</v>
      </c>
      <c r="D22" s="18">
        <f>1-C22/$C$4</f>
        <v>0.30014636803962758</v>
      </c>
    </row>
    <row r="23" spans="2:4" x14ac:dyDescent="0.25">
      <c r="B23" s="25">
        <v>2021</v>
      </c>
      <c r="C23" s="11">
        <v>45510345</v>
      </c>
      <c r="D23" s="18">
        <f t="shared" ref="D23:D24" si="1">1-C23/$C$4</f>
        <v>0.28626043561747028</v>
      </c>
    </row>
    <row r="24" spans="2:4" x14ac:dyDescent="0.25">
      <c r="B24" s="25">
        <v>2022</v>
      </c>
      <c r="C24" s="11">
        <v>45955893</v>
      </c>
      <c r="D24" s="18">
        <f t="shared" si="1"/>
        <v>0.27927289826895085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24"/>
  <sheetViews>
    <sheetView workbookViewId="0">
      <selection activeCell="I25" sqref="I25"/>
    </sheetView>
  </sheetViews>
  <sheetFormatPr defaultRowHeight="15" x14ac:dyDescent="0.25"/>
  <cols>
    <col min="3" max="3" width="16.28515625" bestFit="1" customWidth="1"/>
    <col min="4" max="4" width="20.42578125" bestFit="1" customWidth="1"/>
    <col min="5" max="5" width="17.85546875" bestFit="1" customWidth="1"/>
    <col min="7" max="7" width="24.5703125" style="5" customWidth="1"/>
  </cols>
  <sheetData>
    <row r="2" spans="2:9" ht="18.75" x14ac:dyDescent="0.3">
      <c r="B2" s="8" t="s">
        <v>47</v>
      </c>
    </row>
    <row r="3" spans="2:9" ht="26.25" customHeight="1" x14ac:dyDescent="0.25">
      <c r="B3" s="7" t="s">
        <v>7</v>
      </c>
      <c r="C3" s="10" t="s">
        <v>48</v>
      </c>
      <c r="D3" s="7" t="s">
        <v>49</v>
      </c>
      <c r="E3" s="7" t="s">
        <v>50</v>
      </c>
      <c r="F3" s="7" t="s">
        <v>20</v>
      </c>
      <c r="G3" s="25" t="s">
        <v>46</v>
      </c>
    </row>
    <row r="4" spans="2:9" x14ac:dyDescent="0.25">
      <c r="B4" s="20">
        <v>2002</v>
      </c>
      <c r="C4" s="11">
        <v>528286</v>
      </c>
      <c r="D4" s="11">
        <v>373907</v>
      </c>
      <c r="E4" s="11"/>
      <c r="F4" s="12">
        <f t="shared" ref="F4:F11" si="0">SUM(C4:E4)</f>
        <v>902193</v>
      </c>
      <c r="I4" s="12">
        <f>D4+E4</f>
        <v>373907</v>
      </c>
    </row>
    <row r="5" spans="2:9" x14ac:dyDescent="0.25">
      <c r="B5" s="20">
        <v>2003</v>
      </c>
      <c r="C5" s="11">
        <v>175344</v>
      </c>
      <c r="D5" s="11">
        <v>340487</v>
      </c>
      <c r="E5" s="11"/>
      <c r="F5" s="12">
        <f t="shared" si="0"/>
        <v>515831</v>
      </c>
      <c r="G5" s="18">
        <f>1-F5/$F$4</f>
        <v>0.42824761442396475</v>
      </c>
      <c r="I5" s="12">
        <f t="shared" ref="I5:I22" si="1">D5+E5</f>
        <v>340487</v>
      </c>
    </row>
    <row r="6" spans="2:9" x14ac:dyDescent="0.25">
      <c r="B6" s="20">
        <v>2004</v>
      </c>
      <c r="C6" s="11">
        <v>211237</v>
      </c>
      <c r="D6" s="11">
        <v>326182</v>
      </c>
      <c r="E6" s="11"/>
      <c r="F6" s="12">
        <f t="shared" si="0"/>
        <v>537419</v>
      </c>
      <c r="G6" s="18">
        <f t="shared" ref="G6:G20" si="2">1-F6/$F$4</f>
        <v>0.40431925319748652</v>
      </c>
      <c r="I6" s="12">
        <f t="shared" si="1"/>
        <v>326182</v>
      </c>
    </row>
    <row r="7" spans="2:9" x14ac:dyDescent="0.25">
      <c r="B7" s="20">
        <v>2005</v>
      </c>
      <c r="C7" s="11">
        <v>342693</v>
      </c>
      <c r="D7" s="11">
        <v>294314</v>
      </c>
      <c r="E7" s="11"/>
      <c r="F7" s="12">
        <f t="shared" si="0"/>
        <v>637007</v>
      </c>
      <c r="G7" s="18">
        <f t="shared" si="2"/>
        <v>0.29393488976305515</v>
      </c>
      <c r="I7" s="12">
        <f t="shared" si="1"/>
        <v>294314</v>
      </c>
    </row>
    <row r="8" spans="2:9" x14ac:dyDescent="0.25">
      <c r="B8" s="20">
        <v>2006</v>
      </c>
      <c r="C8" s="11">
        <v>312595</v>
      </c>
      <c r="D8" s="11">
        <v>328612</v>
      </c>
      <c r="E8" s="11"/>
      <c r="F8" s="12">
        <f t="shared" si="0"/>
        <v>641207</v>
      </c>
      <c r="G8" s="18">
        <f t="shared" si="2"/>
        <v>0.2892795665672423</v>
      </c>
      <c r="I8" s="12">
        <f t="shared" si="1"/>
        <v>328612</v>
      </c>
    </row>
    <row r="9" spans="2:9" x14ac:dyDescent="0.25">
      <c r="B9" s="20">
        <v>2007</v>
      </c>
      <c r="C9" s="11">
        <v>420227</v>
      </c>
      <c r="D9" s="11">
        <v>313724</v>
      </c>
      <c r="E9" s="11"/>
      <c r="F9" s="12">
        <f t="shared" si="0"/>
        <v>733951</v>
      </c>
      <c r="G9" s="18">
        <f t="shared" si="2"/>
        <v>0.18648116312141638</v>
      </c>
      <c r="I9" s="12">
        <f t="shared" si="1"/>
        <v>313724</v>
      </c>
    </row>
    <row r="10" spans="2:9" x14ac:dyDescent="0.25">
      <c r="B10" s="20">
        <v>2008</v>
      </c>
      <c r="C10" s="11">
        <v>577858</v>
      </c>
      <c r="D10" s="11">
        <v>358113</v>
      </c>
      <c r="E10" s="11"/>
      <c r="F10" s="12">
        <f t="shared" si="0"/>
        <v>935971</v>
      </c>
      <c r="G10" s="18">
        <f t="shared" si="2"/>
        <v>-3.7439882597182672E-2</v>
      </c>
      <c r="I10" s="12">
        <f t="shared" si="1"/>
        <v>358113</v>
      </c>
    </row>
    <row r="11" spans="2:9" x14ac:dyDescent="0.25">
      <c r="B11" s="20">
        <v>2009</v>
      </c>
      <c r="C11" s="11">
        <v>553744</v>
      </c>
      <c r="D11" s="11">
        <v>349327</v>
      </c>
      <c r="E11" s="11"/>
      <c r="F11" s="12">
        <f t="shared" si="0"/>
        <v>903071</v>
      </c>
      <c r="G11" s="18">
        <f t="shared" si="2"/>
        <v>-9.7318422998182719E-4</v>
      </c>
      <c r="I11" s="12">
        <f t="shared" si="1"/>
        <v>349327</v>
      </c>
    </row>
    <row r="12" spans="2:9" x14ac:dyDescent="0.25">
      <c r="B12" s="25">
        <v>2010</v>
      </c>
      <c r="C12" s="11">
        <v>281907</v>
      </c>
      <c r="D12" s="11">
        <v>112580</v>
      </c>
      <c r="E12" s="11">
        <v>177478</v>
      </c>
      <c r="F12" s="12">
        <f t="shared" ref="F12:F22" si="3">SUM(C12:E12)</f>
        <v>571965</v>
      </c>
      <c r="G12" s="18">
        <f t="shared" si="2"/>
        <v>0.36602811150164105</v>
      </c>
      <c r="I12" s="12">
        <f t="shared" si="1"/>
        <v>290058</v>
      </c>
    </row>
    <row r="13" spans="2:9" x14ac:dyDescent="0.25">
      <c r="B13" s="25">
        <v>2011</v>
      </c>
      <c r="C13" s="11">
        <v>200975</v>
      </c>
      <c r="D13" s="11">
        <v>155177.5</v>
      </c>
      <c r="E13" s="11">
        <v>171646</v>
      </c>
      <c r="F13" s="12">
        <f t="shared" si="3"/>
        <v>527798.5</v>
      </c>
      <c r="G13" s="18">
        <f t="shared" si="2"/>
        <v>0.41498271434160983</v>
      </c>
      <c r="I13" s="12">
        <f t="shared" si="1"/>
        <v>326823.5</v>
      </c>
    </row>
    <row r="14" spans="2:9" x14ac:dyDescent="0.25">
      <c r="B14" s="25">
        <v>2012</v>
      </c>
      <c r="C14" s="11">
        <v>313071</v>
      </c>
      <c r="D14" s="11">
        <v>148612</v>
      </c>
      <c r="E14" s="11">
        <v>159900</v>
      </c>
      <c r="F14" s="12">
        <f t="shared" si="3"/>
        <v>621583</v>
      </c>
      <c r="G14" s="18">
        <f t="shared" si="2"/>
        <v>0.31103100999453559</v>
      </c>
      <c r="I14" s="12">
        <f t="shared" si="1"/>
        <v>308512</v>
      </c>
    </row>
    <row r="15" spans="2:9" x14ac:dyDescent="0.25">
      <c r="B15" s="25">
        <v>2013</v>
      </c>
      <c r="C15" s="11">
        <v>251893</v>
      </c>
      <c r="D15" s="11">
        <v>122090.5</v>
      </c>
      <c r="E15" s="11">
        <v>154050</v>
      </c>
      <c r="F15" s="12">
        <f t="shared" si="3"/>
        <v>528033.5</v>
      </c>
      <c r="G15" s="18">
        <f t="shared" si="2"/>
        <v>0.41472223792470131</v>
      </c>
      <c r="I15" s="12">
        <f t="shared" si="1"/>
        <v>276140.5</v>
      </c>
    </row>
    <row r="16" spans="2:9" x14ac:dyDescent="0.25">
      <c r="B16" s="25">
        <v>2014</v>
      </c>
      <c r="C16" s="11">
        <v>327902</v>
      </c>
      <c r="D16" s="11">
        <v>111593.5</v>
      </c>
      <c r="E16" s="11">
        <v>189042</v>
      </c>
      <c r="F16" s="12">
        <f t="shared" si="3"/>
        <v>628537.5</v>
      </c>
      <c r="G16" s="18">
        <f t="shared" si="2"/>
        <v>0.30332257066946877</v>
      </c>
      <c r="I16" s="12">
        <f t="shared" si="1"/>
        <v>300635.5</v>
      </c>
    </row>
    <row r="17" spans="2:9" x14ac:dyDescent="0.25">
      <c r="B17" s="25">
        <v>2015</v>
      </c>
      <c r="C17" s="11">
        <v>181481</v>
      </c>
      <c r="D17" s="11">
        <v>104510</v>
      </c>
      <c r="E17" s="11">
        <v>203606</v>
      </c>
      <c r="F17" s="12">
        <f t="shared" si="3"/>
        <v>489597</v>
      </c>
      <c r="G17" s="18">
        <f t="shared" si="2"/>
        <v>0.45732564983323964</v>
      </c>
      <c r="I17" s="12">
        <f t="shared" si="1"/>
        <v>308116</v>
      </c>
    </row>
    <row r="18" spans="2:9" x14ac:dyDescent="0.25">
      <c r="B18" s="25">
        <v>2016</v>
      </c>
      <c r="C18" s="11">
        <v>230620</v>
      </c>
      <c r="D18" s="11">
        <v>139023.5</v>
      </c>
      <c r="E18" s="11">
        <v>108199.5</v>
      </c>
      <c r="F18" s="12">
        <f t="shared" si="3"/>
        <v>477843</v>
      </c>
      <c r="G18" s="18">
        <f t="shared" si="2"/>
        <v>0.47035390431980739</v>
      </c>
      <c r="I18" s="12">
        <f t="shared" si="1"/>
        <v>247223</v>
      </c>
    </row>
    <row r="19" spans="2:9" x14ac:dyDescent="0.25">
      <c r="B19" s="25">
        <v>2017</v>
      </c>
      <c r="C19" s="11">
        <v>277708</v>
      </c>
      <c r="D19" s="11">
        <v>141656.28699999992</v>
      </c>
      <c r="E19" s="11">
        <v>123226.04</v>
      </c>
      <c r="F19" s="12">
        <f t="shared" si="3"/>
        <v>542590.32699999993</v>
      </c>
      <c r="G19" s="18">
        <f t="shared" si="2"/>
        <v>0.39858730116505015</v>
      </c>
      <c r="I19" s="12">
        <f t="shared" si="1"/>
        <v>264882.32699999993</v>
      </c>
    </row>
    <row r="20" spans="2:9" x14ac:dyDescent="0.25">
      <c r="B20" s="25">
        <v>2018</v>
      </c>
      <c r="C20" s="11">
        <v>184346</v>
      </c>
      <c r="D20" s="11">
        <v>151077.53025000001</v>
      </c>
      <c r="E20" s="11">
        <v>140477.14000000001</v>
      </c>
      <c r="F20" s="12">
        <f t="shared" si="3"/>
        <v>475900.67025000002</v>
      </c>
      <c r="G20" s="18">
        <f t="shared" si="2"/>
        <v>0.47250680259101985</v>
      </c>
      <c r="I20" s="12">
        <f t="shared" si="1"/>
        <v>291554.67025000002</v>
      </c>
    </row>
    <row r="21" spans="2:9" x14ac:dyDescent="0.25">
      <c r="B21" s="25">
        <v>2019</v>
      </c>
      <c r="C21" s="11">
        <v>312158</v>
      </c>
      <c r="D21" s="11">
        <v>142409.48999999996</v>
      </c>
      <c r="E21" s="11">
        <v>126820.10999999999</v>
      </c>
      <c r="F21" s="12">
        <f t="shared" si="3"/>
        <v>581387.6</v>
      </c>
      <c r="G21" s="18">
        <f>1-F21/$F$4</f>
        <v>0.35558400475286334</v>
      </c>
      <c r="I21" s="12">
        <f t="shared" si="1"/>
        <v>269229.59999999998</v>
      </c>
    </row>
    <row r="22" spans="2:9" x14ac:dyDescent="0.25">
      <c r="B22" s="25">
        <v>2020</v>
      </c>
      <c r="C22" s="11">
        <v>197957</v>
      </c>
      <c r="D22" s="11">
        <v>138669.11199999996</v>
      </c>
      <c r="E22" s="11">
        <v>123030.79000000001</v>
      </c>
      <c r="F22" s="12">
        <f t="shared" si="3"/>
        <v>459656.902</v>
      </c>
      <c r="G22" s="18">
        <f>1-F22/$F$4</f>
        <v>0.49051156238188498</v>
      </c>
      <c r="I22" s="12">
        <f t="shared" si="1"/>
        <v>261699.90199999997</v>
      </c>
    </row>
    <row r="23" spans="2:9" x14ac:dyDescent="0.25">
      <c r="B23" s="25">
        <v>2021</v>
      </c>
      <c r="C23" s="11">
        <v>78088</v>
      </c>
      <c r="D23" s="11">
        <v>141505.27100000004</v>
      </c>
      <c r="E23" s="11">
        <v>140760.44999999998</v>
      </c>
      <c r="F23" s="12">
        <f t="shared" ref="F23:F24" si="4">SUM(C23:E23)</f>
        <v>360353.72100000002</v>
      </c>
      <c r="G23" s="18">
        <f t="shared" ref="G23:G24" si="5">1-F23/$F$4</f>
        <v>0.60058022950743351</v>
      </c>
      <c r="I23" s="12">
        <f>D23+E23</f>
        <v>282265.72100000002</v>
      </c>
    </row>
    <row r="24" spans="2:9" x14ac:dyDescent="0.25">
      <c r="B24" s="25">
        <v>2022</v>
      </c>
      <c r="C24" s="11">
        <v>427801</v>
      </c>
      <c r="D24" s="11">
        <v>154074.45199999996</v>
      </c>
      <c r="E24" s="11">
        <v>73985.429999999993</v>
      </c>
      <c r="F24" s="12">
        <f t="shared" si="4"/>
        <v>655860.88199999998</v>
      </c>
      <c r="G24" s="18">
        <f t="shared" si="5"/>
        <v>0.27303705304740788</v>
      </c>
      <c r="I24" s="12">
        <f>D24+E24</f>
        <v>228059.88199999995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C92FDEC20E049BBFDEDE2CE92A86E" ma:contentTypeVersion="14" ma:contentTypeDescription="Create a new document." ma:contentTypeScope="" ma:versionID="fdb8a423e8e444d477b122066a60df38">
  <xsd:schema xmlns:xsd="http://www.w3.org/2001/XMLSchema" xmlns:xs="http://www.w3.org/2001/XMLSchema" xmlns:p="http://schemas.microsoft.com/office/2006/metadata/properties" xmlns:ns1="http://schemas.microsoft.com/sharepoint/v3" xmlns:ns2="88d8ddda-913f-4c4a-96ab-c457e3f73937" xmlns:ns3="4f7ebdfc-7d4d-4cd1-8c67-126c82b09329" targetNamespace="http://schemas.microsoft.com/office/2006/metadata/properties" ma:root="true" ma:fieldsID="789b1642f562920e74595e0876c9be72" ns1:_="" ns2:_="" ns3:_="">
    <xsd:import namespace="http://schemas.microsoft.com/sharepoint/v3"/>
    <xsd:import namespace="88d8ddda-913f-4c4a-96ab-c457e3f73937"/>
    <xsd:import namespace="4f7ebdfc-7d4d-4cd1-8c67-126c82b093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8ddda-913f-4c4a-96ab-c457e3f73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ebdfc-7d4d-4cd1-8c67-126c82b09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2E52E7-38B5-4E31-B9A5-02700FD86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F1854-4C97-4B4B-8232-A71EBC3C9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d8ddda-913f-4c4a-96ab-c457e3f73937"/>
    <ds:schemaRef ds:uri="4f7ebdfc-7d4d-4cd1-8c67-126c82b09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CD45A7-D313-4E3D-9501-31C6CD71833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f7ebdfc-7d4d-4cd1-8c67-126c82b09329"/>
    <ds:schemaRef ds:uri="http://schemas.microsoft.com/sharepoint/v3"/>
    <ds:schemaRef ds:uri="http://schemas.openxmlformats.org/package/2006/metadata/core-properties"/>
    <ds:schemaRef ds:uri="http://purl.org/dc/dcmitype/"/>
    <ds:schemaRef ds:uri="88d8ddda-913f-4c4a-96ab-c457e3f7393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Plots</vt:lpstr>
      <vt:lpstr>Emissions</vt:lpstr>
      <vt:lpstr>Wood Boiler Performance</vt:lpstr>
      <vt:lpstr>Steam</vt:lpstr>
      <vt:lpstr>Water Usage</vt:lpstr>
      <vt:lpstr>Chilled Water</vt:lpstr>
      <vt:lpstr>Campus Electricity</vt:lpstr>
      <vt:lpstr>Natural Gas</vt:lpstr>
    </vt:vector>
  </TitlesOfParts>
  <Manager/>
  <Company>University of Idaho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Compton, Marc (compton@uidaho.edu)</dc:creator>
  <cp:keywords/>
  <dc:description/>
  <cp:lastModifiedBy>Ulliman, Ann (aulliman@uidaho.edu)</cp:lastModifiedBy>
  <cp:revision/>
  <cp:lastPrinted>2020-08-14T16:53:42Z</cp:lastPrinted>
  <dcterms:created xsi:type="dcterms:W3CDTF">2019-03-27T15:18:03Z</dcterms:created>
  <dcterms:modified xsi:type="dcterms:W3CDTF">2023-03-23T21:16:19Z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0x0101008C5C92FDEC20E049BBFDEDE2CE92A86E</vt:lpwstr>
  </property>
  <property fmtid="{D5CDD505-2E9C-101B-9397-08002B2CF9AE}" pid="3" name="Order">
    <vt:r8>7400</vt:r8>
  </property>
</Properties>
</file>